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70" windowHeight="6300" firstSheet="8" activeTab="11"/>
  </bookViews>
  <sheets>
    <sheet name="Summary" sheetId="1" r:id="rId1"/>
    <sheet name="PerGalCostbyGDF" sheetId="2" r:id="rId2"/>
    <sheet name="PerGalCostbyModule" sheetId="3" r:id="rId3"/>
    <sheet name="Model GDF 1" sheetId="4" r:id="rId4"/>
    <sheet name="Model GDF 2" sheetId="5" r:id="rId5"/>
    <sheet name="Model GDF 3" sheetId="6" r:id="rId6"/>
    <sheet name="Model GDF 4" sheetId="7" r:id="rId7"/>
    <sheet name="Model GDF 5" sheetId="8" r:id="rId8"/>
    <sheet name="RD Costs" sheetId="9" r:id="rId9"/>
    <sheet name="CertTesting Costs" sheetId="10" r:id="rId10"/>
    <sheet name="GDF Distribution" sheetId="11" r:id="rId11"/>
    <sheet name="Ref and Notes" sheetId="12" r:id="rId12"/>
  </sheets>
  <definedNames/>
  <calcPr fullCalcOnLoad="1"/>
</workbook>
</file>

<file path=xl/sharedStrings.xml><?xml version="1.0" encoding="utf-8"?>
<sst xmlns="http://schemas.openxmlformats.org/spreadsheetml/2006/main" count="796" uniqueCount="260">
  <si>
    <t/>
  </si>
  <si>
    <t>COST-EFFECTIVENESS SUMMARY</t>
  </si>
  <si>
    <t>Input Values Used in Cost Analysis</t>
  </si>
  <si>
    <t>Input value for each Model GDF</t>
  </si>
  <si>
    <t>Input variable used in Cost Analysis</t>
  </si>
  <si>
    <t>Nominal Monthly Average Sales per GDF, gals/month-GDF (EPA, 1991)</t>
  </si>
  <si>
    <t>Population Distribution (EPA, 1991 adjusted to fit current pop-wtd average)</t>
  </si>
  <si>
    <t>Estimated Number of GDFs (11,250 total)</t>
  </si>
  <si>
    <t>Total Annual Sales, million gals/yr</t>
  </si>
  <si>
    <t>Number of Processors per GDF (when applicable)</t>
  </si>
  <si>
    <t>Number of Drop Tubes &amp; Spill Buckets per GDF</t>
  </si>
  <si>
    <t>Wtd-Avg Number of Nozzles per GDF (EPA, 1991)</t>
  </si>
  <si>
    <t>Number of Dispensers per GDF (EPA, 1991)</t>
  </si>
  <si>
    <t>Est. population-wtd average gallons per month using population above</t>
  </si>
  <si>
    <t>Total 1997 CA gasoline sales =</t>
  </si>
  <si>
    <t xml:space="preserve"> gals</t>
  </si>
  <si>
    <t xml:space="preserve">Actual population-wtd average gallons per month </t>
  </si>
  <si>
    <t xml:space="preserve">   Total GDFs in CA in 1998 =</t>
  </si>
  <si>
    <t>Emission Reductions per Model GDF</t>
  </si>
  <si>
    <t>Emission Reductions</t>
  </si>
  <si>
    <t>ROG Reductions</t>
  </si>
  <si>
    <t>by Model GDF and Module, tons/day</t>
  </si>
  <si>
    <t>Module</t>
  </si>
  <si>
    <t>Description</t>
  </si>
  <si>
    <t>Statewide, tons/day</t>
  </si>
  <si>
    <t>Phase I</t>
  </si>
  <si>
    <t>Phase II</t>
  </si>
  <si>
    <t>ORVR Compatibility</t>
  </si>
  <si>
    <t>Liquid Retention</t>
  </si>
  <si>
    <t>Spillage/Dripless Nozzle</t>
  </si>
  <si>
    <t>In-Station Diagnostics</t>
  </si>
  <si>
    <t>Total</t>
  </si>
  <si>
    <t>Cost-Effectiveness (C.E.) &amp; Impacts to GDFs and Consumers</t>
  </si>
  <si>
    <t>Cost-Effectiveness by Model GDF and Module</t>
  </si>
  <si>
    <t>Overall</t>
  </si>
  <si>
    <t>1999 Dollars per Pound ROG Reduced</t>
  </si>
  <si>
    <t>Cost-Effectiveness</t>
  </si>
  <si>
    <t>by Module only</t>
  </si>
  <si>
    <t>Phase I C.E. (Annual Costs/Annual Reductions)</t>
  </si>
  <si>
    <t xml:space="preserve">   Annualized Equip Costs (assumes 25%/yr conversion)</t>
  </si>
  <si>
    <t xml:space="preserve">   Annualized R&amp;D Costs (assume 5% of Total R&amp;D)</t>
  </si>
  <si>
    <t xml:space="preserve">   Annualized Cert &amp; Testing (assume 5% of Total Cert)</t>
  </si>
  <si>
    <t xml:space="preserve">   Annual Gasoline Recovery Credit</t>
  </si>
  <si>
    <t>Phase II C.E. (Annual Costs/Annual Reductions)</t>
  </si>
  <si>
    <t xml:space="preserve">   Annualized R&amp;D Costs (assume 50% of Total R&amp;D)</t>
  </si>
  <si>
    <t xml:space="preserve">   Annualized Cert &amp; Testing (assume 50% of Total Cert)</t>
  </si>
  <si>
    <t>ORVR Compatibility (Annual Costs/Annual Reductions)</t>
  </si>
  <si>
    <t xml:space="preserve">   Annualized R&amp;D Costs (assume 10% of Total R&amp;D)</t>
  </si>
  <si>
    <t xml:space="preserve">   Annualized Cert &amp; Testing (assume 10% of Total Cert)</t>
  </si>
  <si>
    <t>Liquid Retention (Annual Costs/Annual Reductions)</t>
  </si>
  <si>
    <t>Spillage/Dripless Nozzle (Annual Costs/Annual Reductions)</t>
  </si>
  <si>
    <t>In-Station Diagnostics (Annual Costs/Annual Reductions)</t>
  </si>
  <si>
    <t xml:space="preserve">   Annualized R&amp;D Costs (assume 25% of Total R&amp;D)</t>
  </si>
  <si>
    <t xml:space="preserve">   Annualized Cert &amp; Testing (assume 25% of Total Cert)</t>
  </si>
  <si>
    <t>Total Annual Costs by Model GDF Category</t>
  </si>
  <si>
    <t>Total Annual Costs per each GDF in a Model GDF Category</t>
  </si>
  <si>
    <t>overall annual cost</t>
  </si>
  <si>
    <t>Per-gallon cost increase for consumers, cents/gallon</t>
  </si>
  <si>
    <t>Non-Wtd Cost-Effectiveness for All Modules by Model GDF</t>
  </si>
  <si>
    <t>avg. per-gal increase</t>
  </si>
  <si>
    <t>Notes:</t>
  </si>
  <si>
    <t>(cents per gallon)</t>
  </si>
  <si>
    <t>Gasoline price/gal assumed =</t>
  </si>
  <si>
    <t>Per-gallon increase for consumers assumes all costs passed on to consumers</t>
  </si>
  <si>
    <t>Gasoline density, lb/gal =</t>
  </si>
  <si>
    <t>Per-Gallon Cost Increase by Module and Model GDF</t>
  </si>
  <si>
    <t>Per-Gallon Cost Increase</t>
  </si>
  <si>
    <t>by Module and Model GDF, cents per gallon</t>
  </si>
  <si>
    <t>Model GDF</t>
  </si>
  <si>
    <t>Per-GDF Throughput, gals/mo</t>
  </si>
  <si>
    <t>Total Cents per Gal Increase by Model GDF</t>
  </si>
  <si>
    <t>Per-Gallon Cost Increase by Module</t>
  </si>
  <si>
    <t>Annual Costs, $Million/yr</t>
  </si>
  <si>
    <t>Cents per Gallon</t>
  </si>
  <si>
    <t>ORVR</t>
  </si>
  <si>
    <t>Liq. Ret.</t>
  </si>
  <si>
    <t>Spillage</t>
  </si>
  <si>
    <t>ISD</t>
  </si>
  <si>
    <t xml:space="preserve">Total  </t>
  </si>
  <si>
    <t>Estimated Equipment Costs for a Model GDF 1 Facility per Proposed Module</t>
  </si>
  <si>
    <t>Unit Cost</t>
  </si>
  <si>
    <t>Number of Components in Model GDF</t>
  </si>
  <si>
    <t>Proposed Module</t>
  </si>
  <si>
    <t>1999 Dollars</t>
  </si>
  <si>
    <t>Bal-1</t>
  </si>
  <si>
    <t>Bal-2</t>
  </si>
  <si>
    <t>Hybrid</t>
  </si>
  <si>
    <t>Assist-1</t>
  </si>
  <si>
    <t>Assist-2</t>
  </si>
  <si>
    <t>Module 1 (Phase I)</t>
  </si>
  <si>
    <t>Phase I Components</t>
  </si>
  <si>
    <t xml:space="preserve">   Pressure/Vacuum (P/V) valve</t>
  </si>
  <si>
    <t xml:space="preserve">   Low-emission spill containment and cover</t>
  </si>
  <si>
    <t xml:space="preserve">   Drop tube &amp; overfill protection</t>
  </si>
  <si>
    <t xml:space="preserve">   Rotatable adaptor</t>
  </si>
  <si>
    <t>Installation Costs</t>
  </si>
  <si>
    <t xml:space="preserve">   Pressure/Vacuum (P/V) Valve</t>
  </si>
  <si>
    <t>Module 1 -- Total Fixed Cost (All Equipment)</t>
  </si>
  <si>
    <t>Module 1 -- Total Annualized Cost = Total Fixed Cost x CRF2</t>
  </si>
  <si>
    <t>Avg Fixed</t>
  </si>
  <si>
    <t>Avg Annual</t>
  </si>
  <si>
    <t>Module 2 (Phase II w/pressure-related fugitives)</t>
  </si>
  <si>
    <t>Dispenser Components</t>
  </si>
  <si>
    <t xml:space="preserve">   Nozzle -- Balance</t>
  </si>
  <si>
    <t xml:space="preserve">   Nozzle -- Hybrid</t>
  </si>
  <si>
    <t xml:space="preserve">   Nozzle -- Assist Type 1</t>
  </si>
  <si>
    <t xml:space="preserve">   Nozzle -- Assist Type 2</t>
  </si>
  <si>
    <t xml:space="preserve">   Modified Equipment (Dispenser-related) -- Balance</t>
  </si>
  <si>
    <t xml:space="preserve">   Modified Equipment (Dispenser-related) -- Hybrid</t>
  </si>
  <si>
    <t xml:space="preserve">   Modified Equipment (Dispenser-related) -- Assist Type 1</t>
  </si>
  <si>
    <t xml:space="preserve">   Modified Equipment (Dispenser-related) -- Assist Type 2</t>
  </si>
  <si>
    <t>Auxilliary Items (incl. P/V, collection &amp; processor)</t>
  </si>
  <si>
    <t xml:space="preserve">   Assist Type 1</t>
  </si>
  <si>
    <t xml:space="preserve">   Assist Type 2</t>
  </si>
  <si>
    <t>Vapor processor</t>
  </si>
  <si>
    <t xml:space="preserve">   for those Balance systems that use processors</t>
  </si>
  <si>
    <t xml:space="preserve">   Auxilliary Items -- Assist Type 1</t>
  </si>
  <si>
    <t xml:space="preserve">   Auxilliary Items -- Assist Type 2</t>
  </si>
  <si>
    <t xml:space="preserve">   Vapor processor -- Balance</t>
  </si>
  <si>
    <t>Module 2 -- Total Fixed Cost (All Equipment)</t>
  </si>
  <si>
    <t xml:space="preserve">   Module 2 -- Total Fixed Cost (TFC Nozzles)</t>
  </si>
  <si>
    <t xml:space="preserve">   Module 2 -- Total Fixed Cost (TFC Dispensers)</t>
  </si>
  <si>
    <t xml:space="preserve">   Module 2 -- Total Fixed Cost (TFC All Other Equipment)</t>
  </si>
  <si>
    <t>Module 2 -- Annualized Cost = Fixed Costs (TFC Nozzles) x CRF3</t>
  </si>
  <si>
    <t>Module 2 -- Annualized Cost = Fixed Costs (TFC Dispensers) x CRF2</t>
  </si>
  <si>
    <t>Module 2 -- Annualized Cost = Fixed Cost (TFC All Others) x CRF1</t>
  </si>
  <si>
    <t>Module 2 -- Total Annualized Costs (All Equipment)</t>
  </si>
  <si>
    <t>Module 3 (ORVR Compatibility)</t>
  </si>
  <si>
    <t>Components</t>
  </si>
  <si>
    <t xml:space="preserve">   Nozzle (Healy ORVR compatible drop-in assist nozzle)</t>
  </si>
  <si>
    <t xml:space="preserve">      Assumed 25% premium over Module 2-compliant</t>
  </si>
  <si>
    <t xml:space="preserve">      nozzle (applies to assist only)</t>
  </si>
  <si>
    <t xml:space="preserve">   Dispenser sensor &amp; related electronics</t>
  </si>
  <si>
    <t xml:space="preserve">      (Hoffer Flow Control)</t>
  </si>
  <si>
    <t xml:space="preserve">   Nozzle (Healy ORVR compatible drop-in assist nozzle)*</t>
  </si>
  <si>
    <t>Module 3 -- Total Fixed Costs (Equipment Purchase + Installation)</t>
  </si>
  <si>
    <t xml:space="preserve">   Module 3 -- Total Fixed Costs (Nozzles)</t>
  </si>
  <si>
    <t xml:space="preserve">   Module 3 -- Total Fixed Costs (Dispensers)</t>
  </si>
  <si>
    <t>Module 3 -- Annualized Costs = Fixed Costs (Nozzles) x CRF3</t>
  </si>
  <si>
    <t>Module 3 -- Annualized Costs = Fixed Costs (Dispensers) x CRF2</t>
  </si>
  <si>
    <t>Module 3 -- Total Annualized Costs (All Equipment)</t>
  </si>
  <si>
    <t>Module 4 (Liquid Retention -- Redesigned Nozzle)</t>
  </si>
  <si>
    <t xml:space="preserve">   Assumed 25% premium over Module 2-compliant</t>
  </si>
  <si>
    <t xml:space="preserve">   nozzle; in-nozzle design only; no extra installation</t>
  </si>
  <si>
    <t>Module 4 -- Total Fixed Costs (Equipment Purchase + Installation)</t>
  </si>
  <si>
    <t>Module 4 -- Annualized Costs = Fixed Costs x CRF3</t>
  </si>
  <si>
    <t>Module 5 (Spillage, including Dripless Nozzle)</t>
  </si>
  <si>
    <t>Module 5 -- Total Fixed Costs (All Equipment)</t>
  </si>
  <si>
    <t>Module 5 -- Annualized Costs = Fixed Costs x CRF3</t>
  </si>
  <si>
    <t>Module 6 (In-Station Diagnostics)</t>
  </si>
  <si>
    <t xml:space="preserve">   Sensors -- Pressure</t>
  </si>
  <si>
    <t xml:space="preserve">   Sensors -- A/L</t>
  </si>
  <si>
    <t xml:space="preserve">   Datalogger w/EPROM &amp; new CPU/motherboard</t>
  </si>
  <si>
    <t xml:space="preserve">   Assumed 2 person-days/dispenser for ISD installation</t>
  </si>
  <si>
    <t>Module 6 -- Total Fixed Costs (All Equipment)</t>
  </si>
  <si>
    <t>Module 6 -- Annualized Costs = Total Fixed Costs x CRF1</t>
  </si>
  <si>
    <t>Total Fixed Costs (All Modules)</t>
  </si>
  <si>
    <t>Total Annualized Fixed Costs (All Modules)</t>
  </si>
  <si>
    <t>Notes</t>
  </si>
  <si>
    <t>Cost Recovery Factor CRF1 (10% discount, 10 yr. life) -- All Others</t>
  </si>
  <si>
    <t>Average Total Fixed Cost</t>
  </si>
  <si>
    <t>Cost Recovery Factor CRF2 (10% discount, 7 yr. life) -- Dispensers</t>
  </si>
  <si>
    <t>Average Total Annualized Cost</t>
  </si>
  <si>
    <t>Cost Recovery Factor CRF3 (10% discount, 3 yr. life) -- Nozzles</t>
  </si>
  <si>
    <t>* from Healy Systems, 1999.</t>
  </si>
  <si>
    <t>Estimated Equipment Costs for a Model GDF 2 Facility per Proposed Module</t>
  </si>
  <si>
    <t>Estimated Equipment Costs for a Model GDF 3 Facility per Proposed Module</t>
  </si>
  <si>
    <t>Estimated Equipment Costs for a Model GDF 4 Facility per Proposed Module</t>
  </si>
  <si>
    <t>Estimated Equipment Costs for a Model GDF 5 Facility per Proposed Module</t>
  </si>
  <si>
    <t>Research &amp; Development Costs for All Proposed Modules</t>
  </si>
  <si>
    <t>Source</t>
  </si>
  <si>
    <t>Unit Cost or Value</t>
  </si>
  <si>
    <t>Staff Costs</t>
  </si>
  <si>
    <t>Phase I systems</t>
  </si>
  <si>
    <t xml:space="preserve">   Engineering</t>
  </si>
  <si>
    <t xml:space="preserve">     Assumed number of full-time engineers needed per certification</t>
  </si>
  <si>
    <t xml:space="preserve">     Annual cost per engineer (salary + benefits)</t>
  </si>
  <si>
    <t xml:space="preserve">     Number of years required per certification</t>
  </si>
  <si>
    <t xml:space="preserve">   Non-engineering</t>
  </si>
  <si>
    <t xml:space="preserve">     Support staff needed per certfication (assume 1 support per 2 engineers)</t>
  </si>
  <si>
    <t xml:space="preserve">     Annual cost per support staff (salary + benefits; assume 50% of engineer cost)</t>
  </si>
  <si>
    <t>Total R&amp;D Staff Costs per Phase I certification</t>
  </si>
  <si>
    <t>Phase II &amp; ISD systems</t>
  </si>
  <si>
    <t>Total R&amp;D Staff Costs per Phase II and ISD Certification</t>
  </si>
  <si>
    <t>Component &amp; Systems Development Costs (CSDC) per Certification</t>
  </si>
  <si>
    <t xml:space="preserve">     Design, prototype development, &amp; commercialization cost per certification</t>
  </si>
  <si>
    <t xml:space="preserve">         (assume 10% of total staff costs)</t>
  </si>
  <si>
    <t>Miscellaneous Costs</t>
  </si>
  <si>
    <t xml:space="preserve">     Marketing costs per certification (assumed 25% of CSDC)</t>
  </si>
  <si>
    <t>Total number of Phase II recertifications (as of 01/01/2000)</t>
  </si>
  <si>
    <t>ISD systems to be developed &amp; certified (assume 25% of total Ph II recertifications)</t>
  </si>
  <si>
    <t>Total number of Phase I recertifications (as of 01/01/2000)</t>
  </si>
  <si>
    <t>Total Research &amp; Development Costs</t>
  </si>
  <si>
    <t>Annualized R&amp;D Costs (CRF @ 10% discount rate, 5 yrs)</t>
  </si>
  <si>
    <t>Certification and Testing Costs for All Proposed Modules</t>
  </si>
  <si>
    <t>ARB Certification Fees</t>
  </si>
  <si>
    <t xml:space="preserve">     Typical current ARB fees per Phase II certification</t>
  </si>
  <si>
    <t xml:space="preserve">     Typical current ARB fees per Phase I certification</t>
  </si>
  <si>
    <t xml:space="preserve">     Multiplier for increase in test period (to 6 mos) &amp; test matrix (to 200 cars)</t>
  </si>
  <si>
    <t xml:space="preserve">     Total number of recertifications</t>
  </si>
  <si>
    <t xml:space="preserve">          Phase II</t>
  </si>
  <si>
    <t xml:space="preserve">          Phase I</t>
  </si>
  <si>
    <t xml:space="preserve">     Est. number of ISD certifications</t>
  </si>
  <si>
    <t>Total ARB Certification Fees (assume fee for ISD same as for Phase II)</t>
  </si>
  <si>
    <t>Manufacturers' Certification Fees</t>
  </si>
  <si>
    <t xml:space="preserve">     Typical current Phase II cost per certification (site preparation, testing)</t>
  </si>
  <si>
    <t xml:space="preserve">     Typical current Phase I cost per certification (assume 20% of Phase II)</t>
  </si>
  <si>
    <t xml:space="preserve">     Total number of Phase II recertifications</t>
  </si>
  <si>
    <t xml:space="preserve">     Est. number of new certifications (i.e., ISD systems or components)</t>
  </si>
  <si>
    <t xml:space="preserve">     Total number of Phase I recertifications</t>
  </si>
  <si>
    <t>Total Manufacturers' Phase I, Phase II, &amp; ISD Certification Costs</t>
  </si>
  <si>
    <t>Total Certification (ARB + Manufacturers) Costs (over 4 years)</t>
  </si>
  <si>
    <t>Annualized Certification Costs (CRF @ 10% discount rate, 4 yrs)</t>
  </si>
  <si>
    <t>(1)  4 yr annualization period for cost recovery factor (CRF) reflects proposed 4-yr cert. lifetimes</t>
  </si>
  <si>
    <t>(2)  $170,000 typical manuf. certification costs includes $75,000 on-site + $75,000 internal</t>
  </si>
  <si>
    <t xml:space="preserve">      engineering and lab costs to prepare for field certification + $20,000 for pressure monitoring.</t>
  </si>
  <si>
    <t>(3)  Typical ARB certification fees taken from most recent ARB invoices for Phase I/II testing.</t>
  </si>
  <si>
    <t>GDF Population Distribution</t>
  </si>
  <si>
    <t>National GDF Distribution in 1991</t>
  </si>
  <si>
    <t>Est. California Distribution in 1998</t>
  </si>
  <si>
    <t>Percent</t>
  </si>
  <si>
    <t>Gal/mo</t>
  </si>
  <si>
    <t>of GDFs</t>
  </si>
  <si>
    <t>PWA (1991) =</t>
  </si>
  <si>
    <t>gal/mo</t>
  </si>
  <si>
    <t>PWA (1998) =</t>
  </si>
  <si>
    <t>Source:  EPA, 1991</t>
  </si>
  <si>
    <t>Source:  Staff adjustment of EPA, 1991</t>
  </si>
  <si>
    <t>PWA = population-wtd average</t>
  </si>
  <si>
    <t>distribution to fit current average</t>
  </si>
  <si>
    <t>(pop-wtd avg = 99865)</t>
  </si>
  <si>
    <t>Ref.</t>
  </si>
  <si>
    <t>(a)</t>
  </si>
  <si>
    <t>1998 average motor fuel sold per store = 95,100 gals/month</t>
  </si>
  <si>
    <t>(b)</t>
  </si>
  <si>
    <t>breakaways (avg = $32.50 each)</t>
  </si>
  <si>
    <t>drop tubes (avg = $111 each, CARB approved)</t>
  </si>
  <si>
    <t>(c)</t>
  </si>
  <si>
    <t>P/V valves (avg = $65 each, CARB approved)</t>
  </si>
  <si>
    <t>(d)</t>
  </si>
  <si>
    <t>EPROM + main CPU board (avg = $725 each)</t>
  </si>
  <si>
    <t>(e)</t>
  </si>
  <si>
    <t>spill containment "bucket" with drain (avg = $482 each)</t>
  </si>
  <si>
    <t>"No excavation of downtime loss with Healy," Slide 14.</t>
  </si>
  <si>
    <t>"No additional installation costs," Slide 14.</t>
  </si>
  <si>
    <t>"Healy ORVR System," &lt;http://www.healysystems.com/orvr1.htm&gt;, visited on 01/13/00.</t>
  </si>
  <si>
    <t>"...Healy Systems gives you the whole package in the nozzle."</t>
  </si>
  <si>
    <t xml:space="preserve">"1999 State of the Industry Report," National Assoc. of Convience Stores, </t>
  </si>
  <si>
    <t xml:space="preserve">&lt;http://www.cstorecentral.com/register/resource/resource/99soihighlights.html, </t>
  </si>
  <si>
    <t xml:space="preserve">visited on 01/03/00. </t>
  </si>
  <si>
    <t xml:space="preserve">Because of 1998's low fuel prices, the average margin cents per gallon </t>
  </si>
  <si>
    <t>dropped to 12.6 cents compared to 1997's 13.4 cents.</t>
  </si>
  <si>
    <t xml:space="preserve">"EBW Vapor Recovery Equipment Price List," </t>
  </si>
  <si>
    <t>price list spreadsheet from EBW Web site, &lt;http://www.ebw.com/pricelst&gt;, visited on 01/03/00.</t>
  </si>
  <si>
    <t xml:space="preserve">"Model 800 Intelligent ORVR Nozzle," Powerpoint presentation by Healy Systems, </t>
  </si>
  <si>
    <t>&lt;http://www.healysystems.com/NozzlesandHoses/NozzlesandHoses.ppt&gt;, visited on 01/03/00.</t>
  </si>
  <si>
    <t>"Retrofit product: approximate installation time takes 2 workers one day per</t>
  </si>
  <si>
    <t xml:space="preserve"> 4 multi-product dispenser station," Slide 14.</t>
  </si>
  <si>
    <t xml:space="preserve">"...Healy Model 800 Nozzle converts your vacuum assist dispensers to ORVR </t>
  </si>
  <si>
    <t>with no added below-ground systems and no new electronics."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</si>
</sst>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&quot;$&quot;#,##0.0\ ;\(&quot;$&quot;#,##0.0\)"/>
    <numFmt numFmtId="167" formatCode="0.000"/>
    <numFmt numFmtId="168" formatCode="0.0%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i/>
      <sz val="14"/>
      <name val="Arial"/>
      <family val="0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9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9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9"/>
      </top>
      <bottom>
        <color indexed="9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double">
        <color indexed="63"/>
      </top>
      <bottom style="thick">
        <color indexed="63"/>
      </bottom>
    </border>
    <border>
      <left style="thick">
        <color indexed="63"/>
      </left>
      <right>
        <color indexed="9"/>
      </right>
      <top style="double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double">
        <color indexed="63"/>
      </top>
      <bottom style="thick">
        <color indexed="63"/>
      </bottom>
    </border>
    <border>
      <left style="thick">
        <color indexed="63"/>
      </left>
      <right>
        <color indexed="9"/>
      </right>
      <top style="thick">
        <color indexed="63"/>
      </top>
      <bottom>
        <color indexed="9"/>
      </bottom>
    </border>
    <border>
      <left style="thick"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>
        <color indexed="9"/>
      </left>
      <right>
        <color indexed="9"/>
      </right>
      <top style="thick">
        <color indexed="63"/>
      </top>
      <bottom>
        <color indexed="9"/>
      </bottom>
    </border>
    <border>
      <left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>
        <color indexed="9"/>
      </left>
      <right style="thick">
        <color indexed="63"/>
      </right>
      <top style="thick">
        <color indexed="63"/>
      </top>
      <bottom>
        <color indexed="9"/>
      </bottom>
    </border>
    <border>
      <left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9"/>
      </right>
      <top style="thick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9"/>
      </left>
      <right>
        <color indexed="9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9"/>
      </top>
      <bottom>
        <color indexed="9"/>
      </bottom>
    </border>
    <border>
      <left style="thick">
        <color indexed="63"/>
      </left>
      <right style="thick">
        <color indexed="63"/>
      </right>
      <top>
        <color indexed="9"/>
      </top>
      <bottom style="thick">
        <color indexed="63"/>
      </bottom>
    </border>
    <border>
      <left style="thick">
        <color indexed="63"/>
      </left>
      <right>
        <color indexed="9"/>
      </right>
      <top>
        <color indexed="9"/>
      </top>
      <bottom>
        <color indexed="9"/>
      </bottom>
    </border>
    <border>
      <left style="thick">
        <color indexed="63"/>
      </left>
      <right>
        <color indexed="9"/>
      </right>
      <top>
        <color indexed="9"/>
      </top>
      <bottom style="thick">
        <color indexed="63"/>
      </bottom>
    </border>
    <border>
      <left style="double">
        <color indexed="63"/>
      </left>
      <right>
        <color indexed="9"/>
      </right>
      <top>
        <color indexed="9"/>
      </top>
      <bottom style="double">
        <color indexed="63"/>
      </bottom>
    </border>
    <border>
      <left style="double">
        <color indexed="63"/>
      </left>
      <right>
        <color indexed="9"/>
      </right>
      <top style="double">
        <color indexed="63"/>
      </top>
      <bottom style="double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9"/>
      </left>
      <right style="thick">
        <color indexed="63"/>
      </right>
      <top>
        <color indexed="9"/>
      </top>
      <bottom>
        <color indexed="9"/>
      </bottom>
    </border>
    <border>
      <left>
        <color indexed="9"/>
      </left>
      <right style="thick">
        <color indexed="63"/>
      </right>
      <top>
        <color indexed="9"/>
      </top>
      <bottom style="thick">
        <color indexed="63"/>
      </bottom>
    </border>
    <border>
      <left>
        <color indexed="9"/>
      </left>
      <right>
        <color indexed="63"/>
      </right>
      <top>
        <color indexed="9"/>
      </top>
      <bottom style="double">
        <color indexed="63"/>
      </bottom>
    </border>
    <border>
      <left>
        <color indexed="9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9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>
        <color indexed="9"/>
      </left>
      <right>
        <color indexed="63"/>
      </right>
      <top style="double"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double">
        <color indexed="63"/>
      </top>
      <bottom style="double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>
        <color indexed="9"/>
      </right>
      <top>
        <color indexed="63"/>
      </top>
      <bottom>
        <color indexed="9"/>
      </bottom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292">
    <xf numFmtId="0" fontId="0" fillId="0" borderId="0" xfId="0" applyAlignment="1">
      <alignment/>
    </xf>
    <xf numFmtId="0" fontId="6" fillId="0" borderId="2" xfId="0" applyFont="1" applyFill="1" applyAlignment="1">
      <alignment horizontal="center"/>
    </xf>
    <xf numFmtId="0" fontId="6" fillId="0" borderId="2" xfId="0" applyFont="1" applyFill="1" applyAlignment="1">
      <alignment/>
    </xf>
    <xf numFmtId="5" fontId="6" fillId="0" borderId="2" xfId="18" applyFont="1" applyFill="1" applyAlignment="1">
      <alignment horizontal="center"/>
    </xf>
    <xf numFmtId="5" fontId="6" fillId="0" borderId="3" xfId="18" applyFont="1" applyFill="1" applyAlignment="1">
      <alignment horizontal="center"/>
    </xf>
    <xf numFmtId="5" fontId="6" fillId="0" borderId="2" xfId="18" applyFont="1" applyFill="1" applyAlignment="1">
      <alignment horizontal="center"/>
    </xf>
    <xf numFmtId="0" fontId="6" fillId="0" borderId="2" xfId="18" applyFont="1" applyFill="1" applyAlignment="1">
      <alignment horizontal="center"/>
    </xf>
    <xf numFmtId="0" fontId="6" fillId="0" borderId="2" xfId="18" applyFont="1" applyFill="1" applyAlignment="1">
      <alignment horizontal="center"/>
    </xf>
    <xf numFmtId="2" fontId="6" fillId="0" borderId="0" xfId="20" applyFont="1" applyFill="1" applyAlignment="1">
      <alignment horizontal="center"/>
    </xf>
    <xf numFmtId="2" fontId="6" fillId="0" borderId="0" xfId="20" applyFont="1" applyFill="1" applyAlignment="1">
      <alignment horizontal="center"/>
    </xf>
    <xf numFmtId="2" fontId="6" fillId="0" borderId="4" xfId="20" applyFont="1" applyFill="1" applyAlignment="1">
      <alignment horizontal="center"/>
    </xf>
    <xf numFmtId="2" fontId="6" fillId="0" borderId="0" xfId="20" applyFont="1" applyFill="1" applyAlignment="1">
      <alignment horizontal="center"/>
    </xf>
    <xf numFmtId="2" fontId="6" fillId="0" borderId="5" xfId="20" applyFont="1" applyFill="1" applyAlignment="1">
      <alignment horizontal="center"/>
    </xf>
    <xf numFmtId="2" fontId="6" fillId="0" borderId="0" xfId="20" applyFont="1" applyAlignment="1">
      <alignment horizontal="center"/>
    </xf>
    <xf numFmtId="2" fontId="6" fillId="0" borderId="0" xfId="20" applyFont="1" applyAlignment="1">
      <alignment/>
    </xf>
    <xf numFmtId="2" fontId="6" fillId="0" borderId="4" xfId="20" applyFont="1" applyFill="1" applyAlignment="1">
      <alignment/>
    </xf>
    <xf numFmtId="2" fontId="6" fillId="0" borderId="0" xfId="20" applyFont="1" applyAlignment="1">
      <alignment horizontal="center"/>
    </xf>
    <xf numFmtId="2" fontId="6" fillId="0" borderId="6" xfId="20" applyFont="1" applyFill="1" applyAlignment="1">
      <alignment horizontal="center"/>
    </xf>
    <xf numFmtId="2" fontId="6" fillId="0" borderId="7" xfId="20" applyFont="1" applyFill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8" xfId="0" applyFont="1" applyFill="1" applyAlignment="1">
      <alignment horizontal="center"/>
    </xf>
    <xf numFmtId="0" fontId="6" fillId="0" borderId="2" xfId="0" applyFont="1" applyFill="1" applyAlignment="1">
      <alignment/>
    </xf>
    <xf numFmtId="0" fontId="6" fillId="0" borderId="2" xfId="0" applyFont="1" applyFill="1" applyAlignment="1">
      <alignment horizontal="center"/>
    </xf>
    <xf numFmtId="0" fontId="5" fillId="0" borderId="0" xfId="0" applyFont="1" applyBorder="1" applyAlignment="1">
      <alignment horizontal="centerContinuous"/>
    </xf>
    <xf numFmtId="165" fontId="6" fillId="0" borderId="6" xfId="0" applyNumberFormat="1" applyFont="1" applyFill="1" applyAlignment="1">
      <alignment horizontal="center"/>
    </xf>
    <xf numFmtId="165" fontId="6" fillId="0" borderId="7" xfId="0" applyNumberFormat="1" applyFont="1" applyFill="1" applyAlignment="1">
      <alignment horizontal="center"/>
    </xf>
    <xf numFmtId="5" fontId="6" fillId="0" borderId="0" xfId="18" applyFont="1" applyFill="1" applyAlignment="1">
      <alignment horizontal="center"/>
    </xf>
    <xf numFmtId="5" fontId="6" fillId="0" borderId="9" xfId="18" applyFont="1" applyFill="1" applyAlignment="1">
      <alignment horizontal="center"/>
    </xf>
    <xf numFmtId="0" fontId="6" fillId="0" borderId="4" xfId="0" applyFont="1" applyFill="1" applyAlignment="1">
      <alignment horizontal="center"/>
    </xf>
    <xf numFmtId="0" fontId="6" fillId="0" borderId="10" xfId="0" applyFont="1" applyFill="1" applyAlignment="1">
      <alignment/>
    </xf>
    <xf numFmtId="5" fontId="6" fillId="0" borderId="10" xfId="18" applyFont="1" applyFill="1" applyAlignment="1">
      <alignment horizontal="center"/>
    </xf>
    <xf numFmtId="0" fontId="6" fillId="0" borderId="10" xfId="18" applyFont="1" applyFill="1" applyAlignment="1">
      <alignment horizontal="center"/>
    </xf>
    <xf numFmtId="0" fontId="6" fillId="0" borderId="11" xfId="0" applyFont="1" applyFill="1" applyAlignment="1">
      <alignment/>
    </xf>
    <xf numFmtId="5" fontId="6" fillId="0" borderId="12" xfId="18" applyFont="1" applyFill="1" applyAlignment="1">
      <alignment horizontal="center"/>
    </xf>
    <xf numFmtId="164" fontId="6" fillId="0" borderId="11" xfId="18" applyNumberFormat="1" applyFont="1" applyFill="1" applyAlignment="1">
      <alignment horizontal="center"/>
    </xf>
    <xf numFmtId="0" fontId="6" fillId="0" borderId="13" xfId="0" applyFont="1" applyFill="1" applyAlignment="1">
      <alignment horizontal="left"/>
    </xf>
    <xf numFmtId="0" fontId="6" fillId="0" borderId="14" xfId="0" applyFont="1" applyFill="1" applyAlignment="1">
      <alignment horizontal="center"/>
    </xf>
    <xf numFmtId="0" fontId="6" fillId="0" borderId="15" xfId="0" applyFont="1" applyFill="1" applyAlignment="1">
      <alignment horizontal="center"/>
    </xf>
    <xf numFmtId="5" fontId="6" fillId="0" borderId="11" xfId="18" applyFont="1" applyFill="1" applyAlignment="1">
      <alignment horizontal="center"/>
    </xf>
    <xf numFmtId="5" fontId="6" fillId="0" borderId="0" xfId="18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0" fontId="6" fillId="0" borderId="16" xfId="0" applyFont="1" applyFill="1" applyAlignment="1">
      <alignment/>
    </xf>
    <xf numFmtId="165" fontId="6" fillId="0" borderId="0" xfId="0" applyNumberFormat="1" applyFont="1" applyAlignment="1">
      <alignment horizontal="center"/>
    </xf>
    <xf numFmtId="165" fontId="6" fillId="0" borderId="5" xfId="0" applyNumberFormat="1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165" fontId="6" fillId="0" borderId="4" xfId="0" applyNumberFormat="1" applyFont="1" applyFill="1" applyAlignment="1">
      <alignment horizontal="center"/>
    </xf>
    <xf numFmtId="0" fontId="6" fillId="0" borderId="9" xfId="0" applyFont="1" applyFill="1" applyAlignment="1">
      <alignment horizontal="center"/>
    </xf>
    <xf numFmtId="5" fontId="6" fillId="0" borderId="17" xfId="18" applyFont="1" applyFill="1" applyAlignment="1">
      <alignment horizontal="center"/>
    </xf>
    <xf numFmtId="5" fontId="6" fillId="0" borderId="18" xfId="18" applyFont="1" applyFill="1" applyAlignment="1">
      <alignment horizontal="center"/>
    </xf>
    <xf numFmtId="0" fontId="6" fillId="0" borderId="0" xfId="0" applyFont="1" applyBorder="1" applyAlignment="1">
      <alignment horizontal="centerContinuous"/>
    </xf>
    <xf numFmtId="5" fontId="6" fillId="0" borderId="19" xfId="18" applyFont="1" applyFill="1" applyAlignment="1">
      <alignment horizontal="center"/>
    </xf>
    <xf numFmtId="0" fontId="6" fillId="0" borderId="9" xfId="0" applyFont="1" applyFill="1" applyAlignment="1">
      <alignment horizontal="center"/>
    </xf>
    <xf numFmtId="0" fontId="6" fillId="0" borderId="9" xfId="0" applyFont="1" applyFill="1" applyAlignment="1">
      <alignment/>
    </xf>
    <xf numFmtId="5" fontId="6" fillId="0" borderId="17" xfId="18" applyFont="1" applyFill="1" applyAlignment="1">
      <alignment horizontal="center"/>
    </xf>
    <xf numFmtId="5" fontId="6" fillId="0" borderId="18" xfId="18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165" fontId="6" fillId="0" borderId="4" xfId="0" applyNumberFormat="1" applyFont="1" applyFill="1" applyAlignment="1">
      <alignment horizontal="center"/>
    </xf>
    <xf numFmtId="165" fontId="6" fillId="0" borderId="0" xfId="0" applyNumberFormat="1" applyFont="1" applyAlignment="1">
      <alignment/>
    </xf>
    <xf numFmtId="165" fontId="6" fillId="0" borderId="4" xfId="0" applyNumberFormat="1" applyFont="1" applyFill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5" fontId="6" fillId="2" borderId="20" xfId="18" applyFont="1" applyFill="1" applyAlignment="1">
      <alignment horizontal="center"/>
    </xf>
    <xf numFmtId="0" fontId="6" fillId="0" borderId="21" xfId="0" applyFont="1" applyFill="1" applyAlignment="1">
      <alignment/>
    </xf>
    <xf numFmtId="5" fontId="6" fillId="0" borderId="6" xfId="18" applyFont="1" applyFill="1" applyAlignment="1">
      <alignment horizontal="center"/>
    </xf>
    <xf numFmtId="165" fontId="6" fillId="0" borderId="0" xfId="20" applyNumberFormat="1" applyFont="1" applyFill="1" applyAlignment="1">
      <alignment horizontal="center"/>
    </xf>
    <xf numFmtId="165" fontId="6" fillId="0" borderId="0" xfId="20" applyNumberFormat="1" applyFont="1" applyFill="1" applyAlignment="1">
      <alignment horizontal="center"/>
    </xf>
    <xf numFmtId="165" fontId="6" fillId="0" borderId="4" xfId="2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20" applyNumberFormat="1" applyFont="1" applyFill="1" applyAlignment="1">
      <alignment horizontal="center"/>
    </xf>
    <xf numFmtId="165" fontId="6" fillId="0" borderId="5" xfId="20" applyNumberFormat="1" applyFont="1" applyFill="1" applyAlignment="1">
      <alignment horizontal="center"/>
    </xf>
    <xf numFmtId="165" fontId="6" fillId="0" borderId="0" xfId="20" applyNumberFormat="1" applyFont="1" applyFill="1" applyAlignment="1">
      <alignment horizontal="center"/>
    </xf>
    <xf numFmtId="165" fontId="6" fillId="0" borderId="5" xfId="20" applyNumberFormat="1" applyFont="1" applyFill="1" applyAlignment="1">
      <alignment horizontal="center"/>
    </xf>
    <xf numFmtId="5" fontId="6" fillId="0" borderId="4" xfId="18" applyFont="1" applyFill="1" applyAlignment="1">
      <alignment horizontal="center"/>
    </xf>
    <xf numFmtId="5" fontId="6" fillId="0" borderId="9" xfId="18" applyFont="1" applyFill="1" applyAlignment="1">
      <alignment horizontal="center"/>
    </xf>
    <xf numFmtId="5" fontId="6" fillId="0" borderId="22" xfId="18" applyFont="1" applyFill="1" applyAlignment="1">
      <alignment horizontal="center"/>
    </xf>
    <xf numFmtId="5" fontId="6" fillId="0" borderId="0" xfId="18" applyFont="1" applyFill="1" applyAlignment="1">
      <alignment horizontal="center"/>
    </xf>
    <xf numFmtId="5" fontId="6" fillId="0" borderId="0" xfId="18" applyFont="1" applyFill="1" applyAlignment="1">
      <alignment horizontal="center"/>
    </xf>
    <xf numFmtId="0" fontId="6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5" xfId="0" applyFont="1" applyFill="1" applyAlignment="1">
      <alignment horizontal="center"/>
    </xf>
    <xf numFmtId="0" fontId="6" fillId="0" borderId="12" xfId="0" applyFont="1" applyFill="1" applyAlignment="1">
      <alignment/>
    </xf>
    <xf numFmtId="5" fontId="6" fillId="0" borderId="20" xfId="18" applyFont="1" applyFill="1" applyAlignment="1">
      <alignment horizontal="center"/>
    </xf>
    <xf numFmtId="5" fontId="6" fillId="0" borderId="23" xfId="18" applyFont="1" applyFill="1" applyAlignment="1">
      <alignment horizontal="center"/>
    </xf>
    <xf numFmtId="0" fontId="6" fillId="0" borderId="24" xfId="0" applyFont="1" applyFill="1" applyAlignment="1">
      <alignment/>
    </xf>
    <xf numFmtId="0" fontId="6" fillId="0" borderId="9" xfId="0" applyFont="1" applyFill="1" applyAlignment="1">
      <alignment/>
    </xf>
    <xf numFmtId="5" fontId="6" fillId="0" borderId="0" xfId="18" applyFont="1" applyAlignment="1">
      <alignment horizontal="center"/>
    </xf>
    <xf numFmtId="0" fontId="6" fillId="0" borderId="11" xfId="0" applyFont="1" applyFill="1" applyAlignment="1">
      <alignment horizontal="left"/>
    </xf>
    <xf numFmtId="5" fontId="6" fillId="2" borderId="11" xfId="18" applyFont="1" applyFill="1" applyAlignment="1">
      <alignment horizontal="center"/>
    </xf>
    <xf numFmtId="0" fontId="6" fillId="0" borderId="13" xfId="0" applyFont="1" applyFill="1" applyAlignment="1">
      <alignment horizontal="centerContinuous"/>
    </xf>
    <xf numFmtId="0" fontId="6" fillId="0" borderId="15" xfId="0" applyFont="1" applyFill="1" applyAlignment="1">
      <alignment horizontal="centerContinuous"/>
    </xf>
    <xf numFmtId="0" fontId="7" fillId="0" borderId="0" xfId="0" applyBorder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5" fontId="6" fillId="0" borderId="0" xfId="18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10" xfId="0" applyFont="1" applyFill="1" applyAlignment="1">
      <alignment horizontal="left"/>
    </xf>
    <xf numFmtId="0" fontId="6" fillId="0" borderId="10" xfId="0" applyFont="1" applyFill="1" applyAlignment="1">
      <alignment horizontal="center"/>
    </xf>
    <xf numFmtId="5" fontId="6" fillId="0" borderId="10" xfId="18" applyFont="1" applyFill="1" applyAlignment="1">
      <alignment horizontal="center"/>
    </xf>
    <xf numFmtId="0" fontId="11" fillId="0" borderId="0" xfId="0" applyFont="1" applyBorder="1" applyAlignment="1">
      <alignment/>
    </xf>
    <xf numFmtId="0" fontId="6" fillId="0" borderId="21" xfId="0" applyFont="1" applyFill="1" applyAlignment="1">
      <alignment/>
    </xf>
    <xf numFmtId="0" fontId="6" fillId="0" borderId="6" xfId="0" applyFont="1" applyFill="1" applyAlignment="1">
      <alignment horizontal="center"/>
    </xf>
    <xf numFmtId="5" fontId="6" fillId="0" borderId="6" xfId="18" applyFont="1" applyFill="1" applyAlignment="1">
      <alignment horizontal="center"/>
    </xf>
    <xf numFmtId="0" fontId="6" fillId="0" borderId="6" xfId="0" applyFont="1" applyFill="1" applyAlignment="1">
      <alignment/>
    </xf>
    <xf numFmtId="0" fontId="6" fillId="0" borderId="7" xfId="0" applyFont="1" applyFill="1" applyAlignment="1">
      <alignment horizontal="center"/>
    </xf>
    <xf numFmtId="0" fontId="6" fillId="0" borderId="25" xfId="0" applyFont="1" applyFill="1" applyAlignment="1">
      <alignment/>
    </xf>
    <xf numFmtId="5" fontId="6" fillId="0" borderId="0" xfId="18" applyFont="1" applyFill="1" applyAlignment="1">
      <alignment horizontal="center"/>
    </xf>
    <xf numFmtId="0" fontId="6" fillId="0" borderId="4" xfId="0" applyFont="1" applyFill="1" applyAlignment="1">
      <alignment horizontal="center"/>
    </xf>
    <xf numFmtId="0" fontId="6" fillId="0" borderId="25" xfId="0" applyFont="1" applyFill="1" applyAlignment="1">
      <alignment/>
    </xf>
    <xf numFmtId="5" fontId="6" fillId="0" borderId="0" xfId="18" applyFont="1" applyFill="1" applyAlignment="1">
      <alignment horizontal="center"/>
    </xf>
    <xf numFmtId="0" fontId="6" fillId="0" borderId="16" xfId="0" applyFont="1" applyFill="1" applyAlignment="1">
      <alignment/>
    </xf>
    <xf numFmtId="0" fontId="6" fillId="0" borderId="0" xfId="0" applyFont="1" applyAlignment="1">
      <alignment horizontal="center"/>
    </xf>
    <xf numFmtId="5" fontId="6" fillId="0" borderId="0" xfId="18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9" fillId="0" borderId="8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27" xfId="0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Border="1" applyAlignment="1">
      <alignment/>
    </xf>
    <xf numFmtId="0" fontId="9" fillId="0" borderId="0" xfId="0" applyFont="1" applyBorder="1" applyAlignment="1">
      <alignment horizontal="centerContinuous"/>
    </xf>
    <xf numFmtId="0" fontId="9" fillId="0" borderId="8" xfId="0" applyFill="1" applyBorder="1" applyAlignment="1">
      <alignment/>
    </xf>
    <xf numFmtId="0" fontId="9" fillId="0" borderId="26" xfId="0" applyFill="1" applyBorder="1" applyAlignment="1">
      <alignment/>
    </xf>
    <xf numFmtId="0" fontId="9" fillId="0" borderId="3" xfId="0" applyFill="1" applyBorder="1" applyAlignment="1">
      <alignment/>
    </xf>
    <xf numFmtId="0" fontId="9" fillId="0" borderId="28" xfId="0" applyFont="1" applyFill="1" applyBorder="1" applyAlignment="1">
      <alignment horizontal="right"/>
    </xf>
    <xf numFmtId="0" fontId="9" fillId="0" borderId="0" xfId="0" applyFont="1" applyBorder="1" applyAlignment="1">
      <alignment horizontal="centerContinuous"/>
    </xf>
    <xf numFmtId="166" fontId="9" fillId="0" borderId="29" xfId="17" applyNumberFormat="1" applyFont="1" applyFill="1" applyBorder="1" applyAlignment="1">
      <alignment horizontal="center"/>
    </xf>
    <xf numFmtId="166" fontId="9" fillId="0" borderId="30" xfId="17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8" xfId="0" applyNumberFormat="1" applyFont="1" applyFill="1" applyBorder="1" applyAlignment="1">
      <alignment horizontal="centerContinuous"/>
    </xf>
    <xf numFmtId="167" fontId="9" fillId="0" borderId="29" xfId="20" applyNumberFormat="1" applyFont="1" applyFill="1" applyBorder="1" applyAlignment="1">
      <alignment horizontal="center"/>
    </xf>
    <xf numFmtId="167" fontId="9" fillId="0" borderId="27" xfId="2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1" xfId="0" applyFont="1" applyFill="1" applyBorder="1" applyAlignment="1">
      <alignment horizontal="centerContinuous"/>
    </xf>
    <xf numFmtId="0" fontId="6" fillId="0" borderId="32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Border="1" applyAlignment="1">
      <alignment/>
    </xf>
    <xf numFmtId="0" fontId="6" fillId="0" borderId="8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left"/>
    </xf>
    <xf numFmtId="0" fontId="6" fillId="0" borderId="8" xfId="0" applyFill="1" applyBorder="1" applyAlignment="1">
      <alignment/>
    </xf>
    <xf numFmtId="0" fontId="6" fillId="0" borderId="26" xfId="0" applyFill="1" applyBorder="1" applyAlignment="1">
      <alignment/>
    </xf>
    <xf numFmtId="0" fontId="6" fillId="0" borderId="3" xfId="0" applyFill="1" applyBorder="1" applyAlignment="1">
      <alignment/>
    </xf>
    <xf numFmtId="0" fontId="6" fillId="0" borderId="27" xfId="0" applyFill="1" applyBorder="1" applyAlignment="1">
      <alignment/>
    </xf>
    <xf numFmtId="0" fontId="5" fillId="0" borderId="0" xfId="0" applyBorder="1" applyAlignment="1">
      <alignment/>
    </xf>
    <xf numFmtId="0" fontId="6" fillId="0" borderId="40" xfId="0" applyFont="1" applyFill="1" applyBorder="1" applyAlignment="1">
      <alignment horizontal="centerContinuous"/>
    </xf>
    <xf numFmtId="0" fontId="6" fillId="0" borderId="41" xfId="0" applyFont="1" applyFill="1" applyBorder="1" applyAlignment="1">
      <alignment horizontal="centerContinuous"/>
    </xf>
    <xf numFmtId="0" fontId="6" fillId="0" borderId="42" xfId="0" applyFont="1" applyFill="1" applyBorder="1" applyAlignment="1">
      <alignment horizontal="centerContinuous"/>
    </xf>
    <xf numFmtId="0" fontId="6" fillId="0" borderId="42" xfId="0" applyFont="1" applyFill="1" applyBorder="1" applyAlignment="1">
      <alignment horizontal="centerContinuous"/>
    </xf>
    <xf numFmtId="0" fontId="6" fillId="0" borderId="43" xfId="0" applyFont="1" applyFill="1" applyBorder="1" applyAlignment="1">
      <alignment horizontal="centerContinuous"/>
    </xf>
    <xf numFmtId="0" fontId="6" fillId="0" borderId="4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165" fontId="6" fillId="0" borderId="26" xfId="20" applyNumberFormat="1" applyFont="1" applyFill="1" applyBorder="1" applyAlignment="1">
      <alignment horizontal="center"/>
    </xf>
    <xf numFmtId="165" fontId="6" fillId="0" borderId="3" xfId="20" applyNumberFormat="1" applyFont="1" applyFill="1" applyBorder="1" applyAlignment="1">
      <alignment horizontal="center"/>
    </xf>
    <xf numFmtId="165" fontId="6" fillId="0" borderId="27" xfId="20" applyNumberFormat="1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Continuous"/>
    </xf>
    <xf numFmtId="3" fontId="6" fillId="0" borderId="26" xfId="16" applyFont="1" applyFill="1" applyBorder="1" applyAlignment="1">
      <alignment horizontal="center"/>
    </xf>
    <xf numFmtId="168" fontId="6" fillId="0" borderId="3" xfId="23" applyNumberFormat="1" applyFont="1" applyFill="1" applyBorder="1" applyAlignment="1">
      <alignment horizontal="center"/>
    </xf>
    <xf numFmtId="3" fontId="6" fillId="0" borderId="3" xfId="16" applyFont="1" applyFill="1" applyBorder="1" applyAlignment="1">
      <alignment horizontal="center"/>
    </xf>
    <xf numFmtId="0" fontId="6" fillId="0" borderId="3" xfId="23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3" fontId="6" fillId="0" borderId="11" xfId="16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Continuous"/>
    </xf>
    <xf numFmtId="0" fontId="6" fillId="0" borderId="48" xfId="0" applyFont="1" applyFill="1" applyBorder="1" applyAlignment="1">
      <alignment horizontal="centerContinuous"/>
    </xf>
    <xf numFmtId="2" fontId="6" fillId="0" borderId="49" xfId="20" applyFont="1" applyFill="1" applyBorder="1" applyAlignment="1">
      <alignment horizontal="center"/>
    </xf>
    <xf numFmtId="2" fontId="6" fillId="0" borderId="27" xfId="2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Continuous"/>
    </xf>
    <xf numFmtId="0" fontId="6" fillId="0" borderId="51" xfId="0" applyFont="1" applyFill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52" xfId="0" applyFont="1" applyFill="1" applyBorder="1" applyAlignment="1">
      <alignment horizontal="centerContinuous"/>
    </xf>
    <xf numFmtId="0" fontId="6" fillId="0" borderId="53" xfId="0" applyFont="1" applyFill="1" applyBorder="1" applyAlignment="1">
      <alignment horizontal="centerContinuous"/>
    </xf>
    <xf numFmtId="0" fontId="6" fillId="0" borderId="54" xfId="0" applyFont="1" applyFill="1" applyBorder="1" applyAlignment="1">
      <alignment horizontal="centerContinuous"/>
    </xf>
    <xf numFmtId="2" fontId="6" fillId="0" borderId="29" xfId="20" applyFont="1" applyFill="1" applyBorder="1" applyAlignment="1">
      <alignment horizontal="center"/>
    </xf>
    <xf numFmtId="10" fontId="6" fillId="0" borderId="0" xfId="23" applyBorder="1" applyAlignment="1">
      <alignment/>
    </xf>
    <xf numFmtId="3" fontId="6" fillId="0" borderId="0" xfId="16" applyBorder="1" applyAlignment="1">
      <alignment/>
    </xf>
    <xf numFmtId="0" fontId="6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0" xfId="0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46" xfId="0" applyFill="1" applyBorder="1" applyAlignment="1">
      <alignment/>
    </xf>
    <xf numFmtId="0" fontId="6" fillId="0" borderId="57" xfId="0" applyFill="1" applyBorder="1" applyAlignment="1">
      <alignment/>
    </xf>
    <xf numFmtId="0" fontId="6" fillId="0" borderId="58" xfId="0" applyFill="1" applyBorder="1" applyAlignment="1">
      <alignment/>
    </xf>
    <xf numFmtId="0" fontId="6" fillId="0" borderId="59" xfId="0" applyFill="1" applyBorder="1" applyAlignment="1">
      <alignment/>
    </xf>
    <xf numFmtId="0" fontId="6" fillId="0" borderId="60" xfId="0" applyFill="1" applyBorder="1" applyAlignment="1">
      <alignment/>
    </xf>
    <xf numFmtId="0" fontId="6" fillId="0" borderId="0" xfId="0" applyBorder="1" applyAlignment="1">
      <alignment/>
    </xf>
    <xf numFmtId="0" fontId="6" fillId="0" borderId="61" xfId="0" applyFont="1" applyFill="1" applyBorder="1" applyAlignment="1">
      <alignment horizontal="centerContinuous"/>
    </xf>
    <xf numFmtId="165" fontId="6" fillId="0" borderId="52" xfId="20" applyNumberFormat="1" applyFont="1" applyFill="1" applyBorder="1" applyAlignment="1">
      <alignment horizontal="center"/>
    </xf>
    <xf numFmtId="165" fontId="6" fillId="0" borderId="62" xfId="20" applyNumberFormat="1" applyFont="1" applyFill="1" applyBorder="1" applyAlignment="1">
      <alignment horizontal="center"/>
    </xf>
    <xf numFmtId="165" fontId="6" fillId="0" borderId="63" xfId="20" applyNumberFormat="1" applyFont="1" applyFill="1" applyBorder="1" applyAlignment="1">
      <alignment horizontal="center"/>
    </xf>
    <xf numFmtId="0" fontId="6" fillId="0" borderId="64" xfId="20" applyNumberFormat="1" applyFont="1" applyFill="1" applyBorder="1" applyAlignment="1">
      <alignment/>
    </xf>
    <xf numFmtId="0" fontId="6" fillId="0" borderId="65" xfId="20" applyNumberFormat="1" applyFont="1" applyFill="1" applyBorder="1" applyAlignment="1">
      <alignment/>
    </xf>
    <xf numFmtId="0" fontId="6" fillId="0" borderId="66" xfId="20" applyNumberFormat="1" applyFont="1" applyFill="1" applyBorder="1" applyAlignment="1">
      <alignment/>
    </xf>
    <xf numFmtId="7" fontId="6" fillId="0" borderId="0" xfId="17" applyFont="1" applyBorder="1" applyAlignment="1">
      <alignment horizontal="left"/>
    </xf>
    <xf numFmtId="0" fontId="6" fillId="0" borderId="67" xfId="17" applyNumberFormat="1" applyFont="1" applyFill="1" applyBorder="1" applyAlignment="1">
      <alignment horizontal="center"/>
    </xf>
    <xf numFmtId="0" fontId="6" fillId="0" borderId="49" xfId="18" applyNumberFormat="1" applyFont="1" applyFill="1" applyBorder="1" applyAlignment="1">
      <alignment horizontal="center"/>
    </xf>
    <xf numFmtId="0" fontId="6" fillId="0" borderId="68" xfId="18" applyNumberFormat="1" applyFont="1" applyFill="1" applyBorder="1" applyAlignment="1">
      <alignment horizontal="center"/>
    </xf>
    <xf numFmtId="0" fontId="6" fillId="0" borderId="69" xfId="18" applyNumberFormat="1" applyFont="1" applyFill="1" applyBorder="1" applyAlignment="1">
      <alignment horizontal="center"/>
    </xf>
    <xf numFmtId="0" fontId="5" fillId="0" borderId="11" xfId="18" applyNumberFormat="1" applyFont="1" applyFill="1" applyBorder="1" applyAlignment="1">
      <alignment horizontal="center"/>
    </xf>
    <xf numFmtId="2" fontId="5" fillId="0" borderId="11" xfId="20" applyFont="1" applyFill="1" applyBorder="1" applyAlignment="1">
      <alignment horizontal="center"/>
    </xf>
    <xf numFmtId="7" fontId="6" fillId="0" borderId="11" xfId="17" applyFont="1" applyFill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6" fillId="0" borderId="8" xfId="17" applyNumberFormat="1" applyFont="1" applyFill="1" applyBorder="1" applyAlignment="1">
      <alignment horizontal="center"/>
    </xf>
    <xf numFmtId="0" fontId="6" fillId="0" borderId="29" xfId="18" applyNumberFormat="1" applyFont="1" applyFill="1" applyBorder="1" applyAlignment="1">
      <alignment horizontal="center"/>
    </xf>
    <xf numFmtId="7" fontId="6" fillId="0" borderId="8" xfId="17" applyFont="1" applyFill="1" applyBorder="1" applyAlignment="1">
      <alignment horizontal="center"/>
    </xf>
    <xf numFmtId="5" fontId="6" fillId="0" borderId="2" xfId="18" applyFont="1" applyFill="1" applyBorder="1" applyAlignment="1">
      <alignment horizontal="center"/>
    </xf>
    <xf numFmtId="7" fontId="6" fillId="0" borderId="8" xfId="17" applyFont="1" applyFill="1" applyBorder="1" applyAlignment="1">
      <alignment horizontal="center"/>
    </xf>
    <xf numFmtId="5" fontId="6" fillId="0" borderId="56" xfId="18" applyFont="1" applyFill="1" applyBorder="1" applyAlignment="1">
      <alignment horizontal="center"/>
    </xf>
    <xf numFmtId="5" fontId="5" fillId="0" borderId="8" xfId="18" applyFont="1" applyFill="1" applyBorder="1" applyAlignment="1">
      <alignment horizontal="center"/>
    </xf>
    <xf numFmtId="0" fontId="10" fillId="0" borderId="0" xfId="18" applyFont="1" applyFill="1" applyBorder="1" applyAlignment="1">
      <alignment horizontal="center"/>
    </xf>
    <xf numFmtId="2" fontId="5" fillId="0" borderId="8" xfId="20" applyFont="1" applyFill="1" applyBorder="1" applyAlignment="1">
      <alignment horizontal="center"/>
    </xf>
    <xf numFmtId="0" fontId="10" fillId="0" borderId="0" xfId="18" applyFont="1" applyFill="1" applyBorder="1" applyAlignment="1">
      <alignment horizontal="center"/>
    </xf>
    <xf numFmtId="0" fontId="10" fillId="0" borderId="0" xfId="0" applyBorder="1" applyAlignment="1">
      <alignment/>
    </xf>
    <xf numFmtId="0" fontId="6" fillId="0" borderId="8" xfId="0" applyFont="1" applyFill="1" applyBorder="1" applyAlignment="1">
      <alignment horizontal="center"/>
    </xf>
    <xf numFmtId="0" fontId="6" fillId="0" borderId="28" xfId="0" applyFill="1" applyBorder="1" applyAlignment="1">
      <alignment/>
    </xf>
    <xf numFmtId="0" fontId="6" fillId="0" borderId="8" xfId="0" applyFill="1" applyBorder="1" applyAlignment="1">
      <alignment/>
    </xf>
    <xf numFmtId="0" fontId="6" fillId="0" borderId="70" xfId="0" applyFill="1" applyBorder="1" applyAlignment="1">
      <alignment/>
    </xf>
    <xf numFmtId="3" fontId="6" fillId="0" borderId="8" xfId="16" applyFont="1" applyFill="1" applyBorder="1" applyAlignment="1">
      <alignment horizontal="center"/>
    </xf>
    <xf numFmtId="0" fontId="6" fillId="0" borderId="29" xfId="0" applyFont="1" applyFill="1" applyAlignment="1">
      <alignment/>
    </xf>
    <xf numFmtId="5" fontId="6" fillId="0" borderId="71" xfId="18" applyFont="1" applyFill="1" applyAlignment="1">
      <alignment horizontal="center"/>
    </xf>
    <xf numFmtId="0" fontId="6" fillId="0" borderId="29" xfId="0" applyFont="1" applyFill="1" applyAlignment="1">
      <alignment/>
    </xf>
    <xf numFmtId="0" fontId="6" fillId="0" borderId="29" xfId="0" applyFont="1" applyFill="1" applyAlignment="1">
      <alignment horizontal="center"/>
    </xf>
    <xf numFmtId="5" fontId="6" fillId="0" borderId="3" xfId="18" applyFont="1" applyFill="1" applyAlignment="1">
      <alignment horizontal="center"/>
    </xf>
    <xf numFmtId="0" fontId="6" fillId="0" borderId="3" xfId="0" applyFont="1" applyFill="1" applyAlignment="1">
      <alignment horizontal="center"/>
    </xf>
    <xf numFmtId="3" fontId="6" fillId="0" borderId="3" xfId="16" applyFont="1" applyFill="1" applyAlignment="1">
      <alignment horizontal="center"/>
    </xf>
    <xf numFmtId="0" fontId="6" fillId="0" borderId="29" xfId="16" applyFont="1" applyFill="1" applyAlignment="1">
      <alignment horizontal="center"/>
    </xf>
    <xf numFmtId="0" fontId="6" fillId="0" borderId="45" xfId="0" applyFont="1" applyFill="1" applyAlignment="1">
      <alignment/>
    </xf>
    <xf numFmtId="0" fontId="6" fillId="0" borderId="45" xfId="0" applyFont="1" applyFill="1" applyAlignment="1">
      <alignment horizontal="center"/>
    </xf>
    <xf numFmtId="0" fontId="6" fillId="0" borderId="11" xfId="0" applyFont="1" applyFill="1" applyAlignment="1">
      <alignment/>
    </xf>
    <xf numFmtId="5" fontId="6" fillId="0" borderId="2" xfId="18" applyFont="1" applyFill="1" applyBorder="1" applyAlignment="1">
      <alignment horizontal="center"/>
    </xf>
    <xf numFmtId="5" fontId="6" fillId="0" borderId="2" xfId="18" applyFont="1" applyFill="1" applyBorder="1" applyAlignment="1">
      <alignment horizontal="center"/>
    </xf>
    <xf numFmtId="3" fontId="6" fillId="0" borderId="2" xfId="16" applyFont="1" applyFill="1" applyBorder="1" applyAlignment="1">
      <alignment horizontal="center"/>
    </xf>
    <xf numFmtId="0" fontId="6" fillId="0" borderId="2" xfId="18" applyFont="1" applyFill="1" applyBorder="1" applyAlignment="1">
      <alignment horizontal="center"/>
    </xf>
    <xf numFmtId="5" fontId="6" fillId="0" borderId="3" xfId="18" applyFont="1" applyFill="1" applyBorder="1" applyAlignment="1">
      <alignment horizontal="center"/>
    </xf>
    <xf numFmtId="0" fontId="6" fillId="0" borderId="72" xfId="0" applyFont="1" applyFill="1" applyAlignment="1">
      <alignment/>
    </xf>
    <xf numFmtId="5" fontId="6" fillId="0" borderId="72" xfId="18" applyFont="1" applyFill="1" applyBorder="1" applyAlignment="1">
      <alignment horizontal="center"/>
    </xf>
    <xf numFmtId="0" fontId="6" fillId="0" borderId="27" xfId="0" applyFont="1" applyFill="1" applyAlignment="1">
      <alignment/>
    </xf>
    <xf numFmtId="5" fontId="6" fillId="0" borderId="27" xfId="18" applyFont="1" applyFill="1" applyBorder="1" applyAlignment="1">
      <alignment horizontal="center"/>
    </xf>
    <xf numFmtId="3" fontId="6" fillId="0" borderId="0" xfId="16" applyFont="1" applyAlignment="1">
      <alignment horizontal="centerContinuous"/>
    </xf>
    <xf numFmtId="10" fontId="6" fillId="0" borderId="0" xfId="23" applyFont="1" applyAlignment="1">
      <alignment horizontal="centerContinuous"/>
    </xf>
    <xf numFmtId="0" fontId="6" fillId="0" borderId="73" xfId="0" applyFont="1" applyFill="1" applyAlignment="1">
      <alignment horizontal="centerContinuous"/>
    </xf>
    <xf numFmtId="3" fontId="6" fillId="0" borderId="74" xfId="16" applyFont="1" applyFill="1" applyAlignment="1">
      <alignment horizontal="centerContinuous"/>
    </xf>
    <xf numFmtId="10" fontId="6" fillId="0" borderId="61" xfId="23" applyFont="1" applyFill="1" applyAlignment="1">
      <alignment horizontal="centerContinuous"/>
    </xf>
    <xf numFmtId="0" fontId="6" fillId="0" borderId="74" xfId="0" applyFont="1" applyFill="1" applyAlignment="1">
      <alignment horizontal="centerContinuous"/>
    </xf>
    <xf numFmtId="0" fontId="6" fillId="0" borderId="61" xfId="0" applyFont="1" applyFill="1" applyAlignment="1">
      <alignment horizontal="centerContinuous"/>
    </xf>
    <xf numFmtId="0" fontId="6" fillId="0" borderId="75" xfId="0" applyFont="1" applyFill="1" applyAlignment="1">
      <alignment/>
    </xf>
    <xf numFmtId="3" fontId="6" fillId="0" borderId="0" xfId="16" applyFont="1" applyFill="1" applyAlignment="1">
      <alignment horizontal="center"/>
    </xf>
    <xf numFmtId="10" fontId="6" fillId="0" borderId="44" xfId="23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44" xfId="0" applyFont="1" applyFill="1" applyAlignment="1">
      <alignment horizontal="center"/>
    </xf>
    <xf numFmtId="3" fontId="6" fillId="0" borderId="58" xfId="16" applyFont="1" applyFill="1" applyAlignment="1">
      <alignment horizontal="centerContinuous"/>
    </xf>
    <xf numFmtId="0" fontId="6" fillId="0" borderId="63" xfId="0" applyFont="1" applyFill="1" applyAlignment="1">
      <alignment horizontal="centerContinuous"/>
    </xf>
    <xf numFmtId="10" fontId="6" fillId="0" borderId="45" xfId="23" applyFont="1" applyFill="1" applyAlignment="1">
      <alignment horizontal="center"/>
    </xf>
    <xf numFmtId="3" fontId="6" fillId="0" borderId="76" xfId="16" applyFont="1" applyFill="1" applyAlignment="1">
      <alignment horizontal="centerContinuous"/>
    </xf>
    <xf numFmtId="0" fontId="6" fillId="0" borderId="9" xfId="0" applyFont="1" applyFill="1" applyAlignment="1">
      <alignment horizontal="centerContinuous"/>
    </xf>
    <xf numFmtId="10" fontId="6" fillId="0" borderId="26" xfId="23" applyFont="1" applyFill="1" applyAlignment="1">
      <alignment horizontal="center"/>
    </xf>
    <xf numFmtId="10" fontId="6" fillId="2" borderId="8" xfId="23" applyFont="1" applyFill="1" applyAlignment="1">
      <alignment horizontal="center"/>
    </xf>
    <xf numFmtId="3" fontId="6" fillId="0" borderId="33" xfId="16" applyFont="1" applyFill="1" applyAlignment="1">
      <alignment horizontal="centerContinuous"/>
    </xf>
    <xf numFmtId="0" fontId="6" fillId="0" borderId="38" xfId="0" applyFont="1" applyFill="1" applyAlignment="1">
      <alignment horizontal="centerContinuous"/>
    </xf>
    <xf numFmtId="10" fontId="6" fillId="0" borderId="3" xfId="23" applyFont="1" applyFill="1" applyAlignment="1">
      <alignment horizontal="center"/>
    </xf>
    <xf numFmtId="3" fontId="6" fillId="0" borderId="34" xfId="16" applyFont="1" applyFill="1" applyAlignment="1">
      <alignment horizontal="centerContinuous"/>
    </xf>
    <xf numFmtId="0" fontId="6" fillId="0" borderId="39" xfId="0" applyFont="1" applyFill="1" applyAlignment="1">
      <alignment horizontal="centerContinuous"/>
    </xf>
    <xf numFmtId="10" fontId="6" fillId="0" borderId="35" xfId="23" applyFont="1" applyFill="1" applyAlignment="1">
      <alignment horizontal="center"/>
    </xf>
    <xf numFmtId="3" fontId="6" fillId="0" borderId="0" xfId="16" applyFont="1" applyAlignment="1">
      <alignment horizontal="center"/>
    </xf>
    <xf numFmtId="10" fontId="6" fillId="0" borderId="0" xfId="23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Fig. VI-2
Per-Gallon Increase per Model GDF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0175"/>
          <c:w val="0.89725"/>
          <c:h val="0.85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PerGalCostbyGDF!$C$4:$C$4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PerGalCostbyGDF!$B$6:$B$11</c:f>
              <c:strCache/>
            </c:strRef>
          </c:cat>
          <c:val>
            <c:numRef>
              <c:f>PerGalCostbyGDF!$C$6:$C$11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PerGalCostbyGDF!$D$4:$D$4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PerGalCostbyGDF!$B$6:$B$11</c:f>
              <c:strCache/>
            </c:strRef>
          </c:cat>
          <c:val>
            <c:numRef>
              <c:f>PerGalCostbyGDF!$D$6:$D$11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PerGalCostbyGDF!$E$4:$E$4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PerGalCostbyGDF!$B$6:$B$11</c:f>
              <c:strCache/>
            </c:strRef>
          </c:cat>
          <c:val>
            <c:numRef>
              <c:f>PerGalCostbyGDF!$E$6:$E$11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PerGalCostbyGDF!$F$4:$F$4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PerGalCostbyGDF!$B$6:$B$11</c:f>
              <c:strCache/>
            </c:strRef>
          </c:cat>
          <c:val>
            <c:numRef>
              <c:f>PerGalCostbyGDF!$F$6:$F$11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PerGalCostbyGDF!$G$4:$G$4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PerGalCostbyGDF!$B$6:$B$11</c:f>
              <c:strCache/>
            </c:strRef>
          </c:cat>
          <c:val>
            <c:numRef>
              <c:f>PerGalCostbyGDF!$G$6:$G$11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50"/>
        <c:axId val="21919388"/>
        <c:axId val="63056765"/>
      </c:barChart>
      <c:catAx>
        <c:axId val="21919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Model GDF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056765"/>
        <c:crosses val="autoZero"/>
        <c:auto val="0"/>
        <c:lblOffset val="100"/>
        <c:noMultiLvlLbl val="0"/>
      </c:catAx>
      <c:valAx>
        <c:axId val="63056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Cents per Gallon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9193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Modules together add 1/4 penny
to Price of 1 Gallon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1225"/>
          <c:w val="0.9702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PerGalCostbyModule!$B$3:$B$8</c:f>
              <c:strCache/>
            </c:strRef>
          </c:cat>
          <c:val>
            <c:numRef>
              <c:f>PerGalCostbyModule!$D$3:$D$8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50"/>
        <c:axId val="30639974"/>
        <c:axId val="7324311"/>
      </c:barChart>
      <c:catAx>
        <c:axId val="30639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324311"/>
        <c:crosses val="autoZero"/>
        <c:auto val="0"/>
        <c:lblOffset val="100"/>
        <c:noMultiLvlLbl val="0"/>
      </c:catAx>
      <c:valAx>
        <c:axId val="7324311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63997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85725</xdr:rowOff>
    </xdr:from>
    <xdr:to>
      <xdr:col>6</xdr:col>
      <xdr:colOff>885825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66675" y="2828925"/>
        <a:ext cx="71056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76200</xdr:rowOff>
    </xdr:from>
    <xdr:to>
      <xdr:col>3</xdr:col>
      <xdr:colOff>1028700</xdr:colOff>
      <xdr:row>37</xdr:row>
      <xdr:rowOff>171450</xdr:rowOff>
    </xdr:to>
    <xdr:graphicFrame>
      <xdr:nvGraphicFramePr>
        <xdr:cNvPr id="1" name="Chart 2"/>
        <xdr:cNvGraphicFramePr/>
      </xdr:nvGraphicFramePr>
      <xdr:xfrm>
        <a:off x="19050" y="2133600"/>
        <a:ext cx="64770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zoomScale="75" zoomScaleNormal="75" workbookViewId="0" topLeftCell="A34">
      <selection activeCell="A34" sqref="A34"/>
    </sheetView>
  </sheetViews>
  <sheetFormatPr defaultColWidth="9.140625" defaultRowHeight="12.75"/>
  <cols>
    <col min="1" max="1" width="10.28125" style="122" customWidth="1"/>
    <col min="2" max="2" width="26.7109375" style="93" customWidth="1"/>
    <col min="3" max="3" width="27.140625" style="93" customWidth="1"/>
    <col min="4" max="5" width="15.28125" style="93" customWidth="1"/>
    <col min="6" max="6" width="16.8515625" style="93" customWidth="1"/>
    <col min="7" max="7" width="21.57421875" style="93" customWidth="1"/>
    <col min="8" max="8" width="15.28125" style="93" customWidth="1"/>
    <col min="9" max="9" width="18.8515625" style="93" customWidth="1"/>
    <col min="10" max="16384" width="8.421875" style="93" customWidth="1"/>
  </cols>
  <sheetData>
    <row r="1" ht="15">
      <c r="A1" s="122" t="s">
        <v>0</v>
      </c>
    </row>
    <row r="3" spans="1:9" ht="18">
      <c r="A3" s="142"/>
      <c r="B3" s="78"/>
      <c r="C3" s="163" t="s">
        <v>1</v>
      </c>
      <c r="D3" s="78"/>
      <c r="E3" s="78"/>
      <c r="F3" s="78"/>
      <c r="G3" s="78"/>
      <c r="H3" s="78"/>
      <c r="I3" s="78"/>
    </row>
    <row r="4" spans="1:9" ht="18">
      <c r="A4" s="142"/>
      <c r="B4" s="78"/>
      <c r="C4" s="78"/>
      <c r="D4" s="78"/>
      <c r="E4" s="78"/>
      <c r="F4" s="78"/>
      <c r="G4" s="78"/>
      <c r="H4" s="78"/>
      <c r="I4" s="78"/>
    </row>
    <row r="5" spans="1:9" ht="18">
      <c r="A5" s="142"/>
      <c r="B5" s="50"/>
      <c r="C5" s="50"/>
      <c r="D5" s="23" t="s">
        <v>2</v>
      </c>
      <c r="E5" s="23"/>
      <c r="F5" s="23"/>
      <c r="G5" s="23"/>
      <c r="H5" s="23"/>
      <c r="I5" s="78"/>
    </row>
    <row r="6" spans="1:9" ht="18">
      <c r="A6" s="142"/>
      <c r="B6" s="50"/>
      <c r="C6" s="50"/>
      <c r="D6" s="175" t="s">
        <v>3</v>
      </c>
      <c r="E6" s="186"/>
      <c r="F6" s="186"/>
      <c r="G6" s="186"/>
      <c r="H6" s="189"/>
      <c r="I6" s="78"/>
    </row>
    <row r="7" spans="1:9" ht="18">
      <c r="A7" s="143" t="s">
        <v>4</v>
      </c>
      <c r="B7" s="154"/>
      <c r="C7" s="164"/>
      <c r="D7" s="170">
        <v>1</v>
      </c>
      <c r="E7" s="170">
        <v>2</v>
      </c>
      <c r="F7" s="170">
        <v>3</v>
      </c>
      <c r="G7" s="170">
        <v>4</v>
      </c>
      <c r="H7" s="170">
        <v>5</v>
      </c>
      <c r="I7" s="78"/>
    </row>
    <row r="8" spans="1:9" ht="18">
      <c r="A8" s="144" t="s">
        <v>5</v>
      </c>
      <c r="B8" s="155"/>
      <c r="C8" s="165"/>
      <c r="D8" s="176">
        <v>13233.050847457625</v>
      </c>
      <c r="E8" s="176">
        <f>'GDF Distribution'!$E9</f>
        <v>37500</v>
      </c>
      <c r="F8" s="176">
        <f>'GDF Distribution'!$E10</f>
        <v>75000</v>
      </c>
      <c r="G8" s="176">
        <f>'GDF Distribution'!$E11</f>
        <v>150000</v>
      </c>
      <c r="H8" s="176">
        <f>'GDF Distribution'!$E12</f>
        <v>300000</v>
      </c>
      <c r="I8" s="78"/>
    </row>
    <row r="9" spans="1:9" ht="18">
      <c r="A9" s="145" t="s">
        <v>6</v>
      </c>
      <c r="B9" s="156"/>
      <c r="C9" s="166"/>
      <c r="D9" s="177">
        <f>SUM(('GDF Distribution'!$G6),('GDF Distribution'!$G7),('GDF Distribution'!$G8))</f>
        <v>0.04719999999999999</v>
      </c>
      <c r="E9" s="177">
        <f>'GDF Distribution'!$G9</f>
        <v>0.14100000000000001</v>
      </c>
      <c r="F9" s="177">
        <f>'GDF Distribution'!$G10</f>
        <v>0.45651999999999987</v>
      </c>
      <c r="G9" s="177">
        <f>'GDF Distribution'!$G11</f>
        <v>0.31304</v>
      </c>
      <c r="H9" s="177">
        <f>'GDF Distribution'!$G12</f>
        <v>0.04224</v>
      </c>
      <c r="I9" s="193"/>
    </row>
    <row r="10" spans="1:9" ht="18">
      <c r="A10" s="145" t="s">
        <v>7</v>
      </c>
      <c r="B10" s="156"/>
      <c r="C10" s="166"/>
      <c r="D10" s="178">
        <f>D9*$G$18</f>
        <v>530.9999999999999</v>
      </c>
      <c r="E10" s="178">
        <f>E9*$G$18</f>
        <v>1586.2500000000002</v>
      </c>
      <c r="F10" s="178">
        <f>F9*$G$18</f>
        <v>5135.8499999999985</v>
      </c>
      <c r="G10" s="178">
        <f>G9*$G$18</f>
        <v>3521.7</v>
      </c>
      <c r="H10" s="178">
        <f>H9*$G$18</f>
        <v>475.2</v>
      </c>
      <c r="I10" s="78"/>
    </row>
    <row r="11" spans="1:9" ht="18">
      <c r="A11" s="145" t="s">
        <v>8</v>
      </c>
      <c r="B11" s="156"/>
      <c r="C11" s="166"/>
      <c r="D11" s="178">
        <f>D8*12*D10/1000000</f>
        <v>84.32099999999997</v>
      </c>
      <c r="E11" s="178">
        <f>(E8/$D$17)*(E9)*($G$17)/1000000</f>
        <v>714.4243728145474</v>
      </c>
      <c r="F11" s="178">
        <f>(F8/$D$17)*(F9)*($G$17)/1000000</f>
        <v>4626.227158543221</v>
      </c>
      <c r="G11" s="178">
        <f>(G8/$D$17)*(G9)*($G$17)/1000000</f>
        <v>6344.493777755061</v>
      </c>
      <c r="H11" s="178">
        <f>(H8/$D$17)*(H9)*($G$17)/1000000</f>
        <v>1712.1864117836299</v>
      </c>
      <c r="I11" s="194"/>
    </row>
    <row r="12" spans="1:10" ht="18">
      <c r="A12" s="146" t="s">
        <v>9</v>
      </c>
      <c r="B12" s="157"/>
      <c r="C12" s="167"/>
      <c r="D12" s="179">
        <v>1</v>
      </c>
      <c r="E12" s="179">
        <v>1</v>
      </c>
      <c r="F12" s="179">
        <v>1</v>
      </c>
      <c r="G12" s="179">
        <v>1</v>
      </c>
      <c r="H12" s="179">
        <v>1</v>
      </c>
      <c r="I12" s="78"/>
      <c r="J12" s="120"/>
    </row>
    <row r="13" spans="1:10" ht="18">
      <c r="A13" s="146" t="s">
        <v>10</v>
      </c>
      <c r="B13" s="157"/>
      <c r="C13" s="167"/>
      <c r="D13" s="179">
        <v>2.5</v>
      </c>
      <c r="E13" s="179">
        <v>2.5</v>
      </c>
      <c r="F13" s="179">
        <v>2.5</v>
      </c>
      <c r="G13" s="179">
        <v>2.5</v>
      </c>
      <c r="H13" s="179">
        <v>2.5</v>
      </c>
      <c r="I13" s="78"/>
      <c r="J13" s="120"/>
    </row>
    <row r="14" spans="1:9" ht="18">
      <c r="A14" s="145" t="s">
        <v>11</v>
      </c>
      <c r="B14" s="156"/>
      <c r="C14" s="166"/>
      <c r="D14" s="180">
        <v>2.5</v>
      </c>
      <c r="E14" s="180">
        <v>3.25</v>
      </c>
      <c r="F14" s="180">
        <v>6.5</v>
      </c>
      <c r="G14" s="180">
        <v>9.75</v>
      </c>
      <c r="H14" s="180">
        <v>16.25</v>
      </c>
      <c r="I14" s="78"/>
    </row>
    <row r="15" spans="1:9" ht="18">
      <c r="A15" s="147" t="s">
        <v>12</v>
      </c>
      <c r="B15" s="158"/>
      <c r="C15" s="168"/>
      <c r="D15" s="153">
        <v>2</v>
      </c>
      <c r="E15" s="153">
        <v>3</v>
      </c>
      <c r="F15" s="153">
        <v>6</v>
      </c>
      <c r="G15" s="153">
        <v>9</v>
      </c>
      <c r="H15" s="153">
        <v>12</v>
      </c>
      <c r="I15" s="78"/>
    </row>
    <row r="16" spans="1:9" ht="18">
      <c r="A16" s="148"/>
      <c r="B16" s="148"/>
      <c r="C16" s="50"/>
      <c r="D16" s="142"/>
      <c r="E16" s="142"/>
      <c r="F16" s="142"/>
      <c r="G16" s="142"/>
      <c r="H16" s="142"/>
      <c r="I16" s="78"/>
    </row>
    <row r="17" spans="1:9" ht="18">
      <c r="A17" s="148" t="s">
        <v>13</v>
      </c>
      <c r="B17" s="148"/>
      <c r="C17" s="50"/>
      <c r="D17" s="181">
        <v>99779.1</v>
      </c>
      <c r="E17" s="78"/>
      <c r="F17" s="188" t="s">
        <v>14</v>
      </c>
      <c r="G17" s="181">
        <v>13481725000</v>
      </c>
      <c r="H17" s="142" t="s">
        <v>15</v>
      </c>
      <c r="I17" s="78"/>
    </row>
    <row r="18" spans="1:9" ht="18">
      <c r="A18" s="148" t="s">
        <v>16</v>
      </c>
      <c r="B18" s="50"/>
      <c r="C18" s="50"/>
      <c r="D18" s="181">
        <v>99865</v>
      </c>
      <c r="E18" s="78"/>
      <c r="F18" s="188" t="s">
        <v>17</v>
      </c>
      <c r="G18" s="181">
        <v>11250</v>
      </c>
      <c r="H18" s="78"/>
      <c r="I18" s="78"/>
    </row>
    <row r="19" spans="1:9" ht="18">
      <c r="A19" s="50"/>
      <c r="B19" s="50"/>
      <c r="C19" s="50"/>
      <c r="D19" s="78"/>
      <c r="E19" s="78"/>
      <c r="F19" s="78"/>
      <c r="G19" s="78"/>
      <c r="H19" s="78"/>
      <c r="I19" s="78"/>
    </row>
    <row r="20" spans="1:10" ht="18">
      <c r="A20" s="149"/>
      <c r="B20" s="149"/>
      <c r="C20" s="149"/>
      <c r="D20" s="149"/>
      <c r="E20" s="149"/>
      <c r="F20" s="149"/>
      <c r="G20" s="149"/>
      <c r="H20" s="149"/>
      <c r="I20" s="149"/>
      <c r="J20" s="120"/>
    </row>
    <row r="21" spans="1:9" ht="18">
      <c r="A21" s="78"/>
      <c r="B21" s="50"/>
      <c r="C21" s="78"/>
      <c r="D21" s="23" t="s">
        <v>18</v>
      </c>
      <c r="E21" s="23"/>
      <c r="F21" s="23"/>
      <c r="G21" s="23"/>
      <c r="H21" s="23"/>
      <c r="I21" s="78"/>
    </row>
    <row r="22" spans="1:9" ht="18">
      <c r="A22" s="142"/>
      <c r="B22" s="50"/>
      <c r="C22" s="169">
        <v>2010</v>
      </c>
      <c r="D22" s="182" t="s">
        <v>19</v>
      </c>
      <c r="E22" s="187"/>
      <c r="F22" s="187"/>
      <c r="G22" s="187"/>
      <c r="H22" s="190"/>
      <c r="I22" s="148"/>
    </row>
    <row r="23" spans="1:12" ht="18">
      <c r="A23" s="142"/>
      <c r="B23" s="78"/>
      <c r="C23" s="170" t="s">
        <v>20</v>
      </c>
      <c r="D23" s="183" t="s">
        <v>21</v>
      </c>
      <c r="E23" s="50"/>
      <c r="F23" s="50"/>
      <c r="G23" s="50"/>
      <c r="H23" s="191"/>
      <c r="I23" s="148"/>
      <c r="J23" s="60"/>
      <c r="K23" s="60"/>
      <c r="L23" s="60"/>
    </row>
    <row r="24" spans="1:9" ht="18">
      <c r="A24" s="150" t="s">
        <v>22</v>
      </c>
      <c r="B24" s="159" t="s">
        <v>23</v>
      </c>
      <c r="C24" s="171" t="s">
        <v>24</v>
      </c>
      <c r="D24" s="150">
        <v>1</v>
      </c>
      <c r="E24" s="150">
        <v>2</v>
      </c>
      <c r="F24" s="150">
        <v>3</v>
      </c>
      <c r="G24" s="150">
        <v>4</v>
      </c>
      <c r="H24" s="150">
        <v>5</v>
      </c>
      <c r="I24" s="50"/>
    </row>
    <row r="25" spans="1:9" ht="18">
      <c r="A25" s="151">
        <v>1</v>
      </c>
      <c r="B25" s="160" t="s">
        <v>25</v>
      </c>
      <c r="C25" s="172">
        <v>5</v>
      </c>
      <c r="D25" s="184">
        <f aca="true" t="shared" si="0" ref="D25:H30">$C25*D$11/(SUM($D$11:$H$11))</f>
        <v>0.03127250113381984</v>
      </c>
      <c r="E25" s="184">
        <f t="shared" si="0"/>
        <v>0.2649617178267747</v>
      </c>
      <c r="F25" s="184">
        <f t="shared" si="0"/>
        <v>1.7157492684011226</v>
      </c>
      <c r="G25" s="184">
        <f t="shared" si="0"/>
        <v>2.3530103871913064</v>
      </c>
      <c r="H25" s="192">
        <f t="shared" si="0"/>
        <v>0.6350061254469765</v>
      </c>
      <c r="I25" s="50"/>
    </row>
    <row r="26" spans="1:9" ht="18">
      <c r="A26" s="152">
        <v>2</v>
      </c>
      <c r="B26" s="161" t="s">
        <v>26</v>
      </c>
      <c r="C26" s="173">
        <v>3.1</v>
      </c>
      <c r="D26" s="184">
        <f t="shared" si="0"/>
        <v>0.0193889507029683</v>
      </c>
      <c r="E26" s="184">
        <f t="shared" si="0"/>
        <v>0.16427626505260032</v>
      </c>
      <c r="F26" s="184">
        <f t="shared" si="0"/>
        <v>1.063764546408696</v>
      </c>
      <c r="G26" s="184">
        <f t="shared" si="0"/>
        <v>1.45886644005861</v>
      </c>
      <c r="H26" s="192">
        <f t="shared" si="0"/>
        <v>0.3937037977771254</v>
      </c>
      <c r="I26" s="50"/>
    </row>
    <row r="27" spans="1:9" ht="18">
      <c r="A27" s="152">
        <v>3</v>
      </c>
      <c r="B27" s="161" t="s">
        <v>27</v>
      </c>
      <c r="C27" s="173">
        <v>6.3</v>
      </c>
      <c r="D27" s="184">
        <f t="shared" si="0"/>
        <v>0.039403351428612995</v>
      </c>
      <c r="E27" s="184">
        <f t="shared" si="0"/>
        <v>0.3338517644617361</v>
      </c>
      <c r="F27" s="184">
        <f t="shared" si="0"/>
        <v>2.161844078185414</v>
      </c>
      <c r="G27" s="184">
        <f t="shared" si="0"/>
        <v>2.9647930878610462</v>
      </c>
      <c r="H27" s="192">
        <f t="shared" si="0"/>
        <v>0.8001077180631903</v>
      </c>
      <c r="I27" s="50"/>
    </row>
    <row r="28" spans="1:9" ht="18">
      <c r="A28" s="152">
        <v>4</v>
      </c>
      <c r="B28" s="161" t="s">
        <v>28</v>
      </c>
      <c r="C28" s="173">
        <v>0.2</v>
      </c>
      <c r="D28" s="184">
        <f t="shared" si="0"/>
        <v>0.0012509000453527935</v>
      </c>
      <c r="E28" s="184">
        <f t="shared" si="0"/>
        <v>0.010598468713070987</v>
      </c>
      <c r="F28" s="184">
        <f t="shared" si="0"/>
        <v>0.0686299707360449</v>
      </c>
      <c r="G28" s="184">
        <f t="shared" si="0"/>
        <v>0.09412041548765225</v>
      </c>
      <c r="H28" s="192">
        <f t="shared" si="0"/>
        <v>0.02540024501787906</v>
      </c>
      <c r="I28" s="50"/>
    </row>
    <row r="29" spans="1:9" ht="18">
      <c r="A29" s="152">
        <v>5</v>
      </c>
      <c r="B29" s="161" t="s">
        <v>29</v>
      </c>
      <c r="C29" s="173">
        <v>3.9</v>
      </c>
      <c r="D29" s="184">
        <f t="shared" si="0"/>
        <v>0.024392550884379475</v>
      </c>
      <c r="E29" s="184">
        <f t="shared" si="0"/>
        <v>0.20667013990488425</v>
      </c>
      <c r="F29" s="184">
        <f t="shared" si="0"/>
        <v>1.3382844293528755</v>
      </c>
      <c r="G29" s="184">
        <f t="shared" si="0"/>
        <v>1.835348102009219</v>
      </c>
      <c r="H29" s="192">
        <f t="shared" si="0"/>
        <v>0.49530477784864163</v>
      </c>
      <c r="I29" s="50"/>
    </row>
    <row r="30" spans="1:9" ht="18">
      <c r="A30" s="152">
        <v>6</v>
      </c>
      <c r="B30" s="161" t="s">
        <v>30</v>
      </c>
      <c r="C30" s="173">
        <v>6.6</v>
      </c>
      <c r="D30" s="184">
        <f t="shared" si="0"/>
        <v>0.04127970149664218</v>
      </c>
      <c r="E30" s="184">
        <f t="shared" si="0"/>
        <v>0.3497494675313425</v>
      </c>
      <c r="F30" s="184">
        <f t="shared" si="0"/>
        <v>2.264789034289482</v>
      </c>
      <c r="G30" s="184">
        <f t="shared" si="0"/>
        <v>3.105973711092524</v>
      </c>
      <c r="H30" s="192">
        <f t="shared" si="0"/>
        <v>0.8382080855900088</v>
      </c>
      <c r="I30" s="50"/>
    </row>
    <row r="31" spans="1:9" ht="18">
      <c r="A31" s="153"/>
      <c r="B31" s="162" t="s">
        <v>31</v>
      </c>
      <c r="C31" s="174">
        <f aca="true" t="shared" si="1" ref="C31:H31">SUM(C25:C30)</f>
        <v>25.1</v>
      </c>
      <c r="D31" s="185">
        <f t="shared" si="1"/>
        <v>0.15698795569177557</v>
      </c>
      <c r="E31" s="185">
        <f t="shared" si="1"/>
        <v>1.330107823490409</v>
      </c>
      <c r="F31" s="185">
        <f t="shared" si="1"/>
        <v>8.613061327373636</v>
      </c>
      <c r="G31" s="185">
        <f t="shared" si="1"/>
        <v>11.81211214370036</v>
      </c>
      <c r="H31" s="185">
        <f t="shared" si="1"/>
        <v>3.1877307497438214</v>
      </c>
      <c r="I31" s="50"/>
    </row>
    <row r="32" spans="1:9" ht="18">
      <c r="A32" s="142"/>
      <c r="B32" s="78"/>
      <c r="C32" s="78"/>
      <c r="D32" s="78"/>
      <c r="E32" s="78"/>
      <c r="F32" s="78"/>
      <c r="G32" s="78"/>
      <c r="H32" s="78"/>
      <c r="I32" s="78"/>
    </row>
    <row r="33" spans="1:9" ht="15">
      <c r="A33" s="61"/>
      <c r="B33" s="120"/>
      <c r="C33" s="120"/>
      <c r="D33" s="120"/>
      <c r="E33" s="120"/>
      <c r="F33" s="120"/>
      <c r="G33" s="120"/>
      <c r="H33" s="120"/>
      <c r="I33" s="120"/>
    </row>
    <row r="34" spans="1:9" ht="18">
      <c r="A34" s="195"/>
      <c r="B34" s="203"/>
      <c r="C34" s="209"/>
      <c r="D34" s="40" t="s">
        <v>32</v>
      </c>
      <c r="E34" s="40"/>
      <c r="F34" s="40"/>
      <c r="G34" s="40"/>
      <c r="H34" s="225"/>
      <c r="I34" s="50"/>
    </row>
    <row r="35" spans="1:9" ht="18">
      <c r="A35" s="196"/>
      <c r="B35" s="50"/>
      <c r="C35" s="78"/>
      <c r="D35" s="182" t="s">
        <v>33</v>
      </c>
      <c r="E35" s="187"/>
      <c r="F35" s="187"/>
      <c r="G35" s="187"/>
      <c r="H35" s="190"/>
      <c r="I35" s="169" t="s">
        <v>34</v>
      </c>
    </row>
    <row r="36" spans="1:9" ht="18">
      <c r="A36" s="196"/>
      <c r="B36" s="78"/>
      <c r="C36" s="78"/>
      <c r="D36" s="183" t="s">
        <v>35</v>
      </c>
      <c r="E36" s="50"/>
      <c r="F36" s="50"/>
      <c r="G36" s="50"/>
      <c r="H36" s="191"/>
      <c r="I36" s="170" t="s">
        <v>36</v>
      </c>
    </row>
    <row r="37" spans="1:9" ht="18">
      <c r="A37" s="150" t="s">
        <v>22</v>
      </c>
      <c r="B37" s="175" t="s">
        <v>23</v>
      </c>
      <c r="C37" s="210"/>
      <c r="D37" s="150">
        <v>1</v>
      </c>
      <c r="E37" s="150">
        <v>2</v>
      </c>
      <c r="F37" s="150">
        <v>3</v>
      </c>
      <c r="G37" s="150">
        <v>4</v>
      </c>
      <c r="H37" s="150">
        <v>5</v>
      </c>
      <c r="I37" s="170" t="s">
        <v>37</v>
      </c>
    </row>
    <row r="38" spans="1:9" ht="18">
      <c r="A38" s="197">
        <v>1</v>
      </c>
      <c r="B38" s="204" t="s">
        <v>38</v>
      </c>
      <c r="C38" s="211"/>
      <c r="D38" s="218">
        <f>SUM(D39:D42)/(D$25*365*2000)</f>
        <v>5.3125836449404895</v>
      </c>
      <c r="E38" s="218">
        <f>SUM(E39:E42)/(E$25*365*2000)</f>
        <v>1.7189582861196202</v>
      </c>
      <c r="F38" s="218">
        <f>SUM(F39:F42)/(F$25*365*2000)</f>
        <v>0.7404315240121913</v>
      </c>
      <c r="G38" s="218">
        <f>SUM(G39:G42)/(G$25*365*2000)</f>
        <v>0.25116814295847645</v>
      </c>
      <c r="H38" s="226">
        <f>SUM(H39:H42)/(H$25*365*2000)</f>
        <v>0.006536452431619217</v>
      </c>
      <c r="I38" s="228">
        <f>(SUM(D39:D42)+SUM(E39:E42)+SUM(F39:F42)+SUM(G39:G42)+SUM(H39:H42))/(C$25*2000*365)</f>
        <v>0.49742854013867993</v>
      </c>
    </row>
    <row r="39" spans="1:9" ht="18">
      <c r="A39" s="198"/>
      <c r="B39" s="205" t="s">
        <v>39</v>
      </c>
      <c r="C39" s="212"/>
      <c r="D39" s="219">
        <f>(0.25)*D10*'Model GDF 1'!$I$20</f>
        <v>76962.74479062957</v>
      </c>
      <c r="E39" s="219">
        <f>(0.25)*E10*'Model GDF 2'!$I$20</f>
        <v>229909.89439573672</v>
      </c>
      <c r="F39" s="219">
        <f>(0.25)*F10*'Model GDF 3'!$I$20</f>
        <v>744386.2765215723</v>
      </c>
      <c r="G39" s="219">
        <f>(0.25)*G10*'Model GDF 4'!$I$20</f>
        <v>510432.57689107384</v>
      </c>
      <c r="H39" s="227">
        <f>(0.25)*H10*'Model GDF 5'!$I$20</f>
        <v>68875.1343211058</v>
      </c>
      <c r="I39" s="229"/>
    </row>
    <row r="40" spans="1:9" ht="18">
      <c r="A40" s="198"/>
      <c r="B40" s="205" t="s">
        <v>40</v>
      </c>
      <c r="C40" s="212"/>
      <c r="D40" s="219">
        <f>0.05*('RD Costs'!$B$43)*$D$9</f>
        <v>29649.517853925383</v>
      </c>
      <c r="E40" s="219">
        <f>0.05*('RD Costs'!$B$43)*$E$9</f>
        <v>88571.65291109068</v>
      </c>
      <c r="F40" s="219">
        <f>0.05*('RD Costs'!$B$43)*$F$9</f>
        <v>286771.1417515681</v>
      </c>
      <c r="G40" s="219">
        <f>0.05*('RD Costs'!$B$43)*$G$9</f>
        <v>196641.63281764413</v>
      </c>
      <c r="H40" s="227">
        <f>0.05*('RD Costs'!$B$43)*$H$9</f>
        <v>26533.805808258654</v>
      </c>
      <c r="I40" s="229"/>
    </row>
    <row r="41" spans="1:9" ht="18">
      <c r="A41" s="198"/>
      <c r="B41" s="205" t="s">
        <v>41</v>
      </c>
      <c r="C41" s="212"/>
      <c r="D41" s="219">
        <f>0.05*('CertTesting Costs'!$B$29)*$D$9</f>
        <v>20103.77386958443</v>
      </c>
      <c r="E41" s="219">
        <f>0.05*('CertTesting Costs'!$B$29)*$E$9</f>
        <v>60055.7651612586</v>
      </c>
      <c r="F41" s="219">
        <f>0.05*('CertTesting Costs'!$B$29)*$F$9</f>
        <v>194444.3823504806</v>
      </c>
      <c r="G41" s="219">
        <f>0.05*('CertTesting Costs'!$B$29)*$G$9</f>
        <v>133332.3172062439</v>
      </c>
      <c r="H41" s="227">
        <f>0.05*('CertTesting Costs'!$B$29)*$H$9</f>
        <v>17991.173903628103</v>
      </c>
      <c r="I41" s="229"/>
    </row>
    <row r="42" spans="1:9" ht="18">
      <c r="A42" s="199"/>
      <c r="B42" s="206" t="s">
        <v>42</v>
      </c>
      <c r="C42" s="213"/>
      <c r="D42" s="219">
        <f>-D25*$C$73*(2000*365/$C$75)</f>
        <v>-5435.458530402019</v>
      </c>
      <c r="E42" s="219">
        <f>-E25*$C$73*(2000*365/$C$75)</f>
        <v>-46052.87000322512</v>
      </c>
      <c r="F42" s="219">
        <f>-F25*$C$73*(2000*365/$C$75)</f>
        <v>-298213.563317338</v>
      </c>
      <c r="G42" s="219">
        <f>-G25*$C$73*(2000*365/$C$75)</f>
        <v>-408975.6149165842</v>
      </c>
      <c r="H42" s="219">
        <f>-H25*$C$73*(2000*365/$C$75)</f>
        <v>-110370.11228006973</v>
      </c>
      <c r="I42" s="229"/>
    </row>
    <row r="43" spans="1:9" ht="18">
      <c r="A43" s="197">
        <v>2</v>
      </c>
      <c r="B43" s="204" t="s">
        <v>43</v>
      </c>
      <c r="C43" s="211"/>
      <c r="D43" s="218">
        <f>SUM(D44:D47)/(D$26*365*2000)</f>
        <v>54.29992805125017</v>
      </c>
      <c r="E43" s="218">
        <f>SUM(E44:E47)/(E$26*365*2000)</f>
        <v>19.545937943014497</v>
      </c>
      <c r="F43" s="218">
        <f>SUM(F44:F47)/(F$26*365*2000)</f>
        <v>10.856560992642857</v>
      </c>
      <c r="G43" s="218">
        <f>SUM(G44:G47)/(G$26*365*2000)</f>
        <v>5.91055269736542</v>
      </c>
      <c r="H43" s="226">
        <f>SUM(H44:H47)/(H$26*365*2000)</f>
        <v>3.4375485497267046</v>
      </c>
      <c r="I43" s="228">
        <f>(SUM(D44:D47)+SUM(E44:E47)+SUM(F44:F47)+SUM(G44:G47)+SUM(H44:H47))/(C$26*2000*365)</f>
        <v>8.318922542497022</v>
      </c>
    </row>
    <row r="44" spans="1:9" ht="18">
      <c r="A44" s="198"/>
      <c r="B44" s="205" t="s">
        <v>39</v>
      </c>
      <c r="C44" s="212"/>
      <c r="D44" s="219">
        <f>(0.25)*D10*'Model GDF 1'!$I$57</f>
        <v>274394.6656108543</v>
      </c>
      <c r="E44" s="219">
        <f>(0.25)*E10*'Model GDF 2'!$I$57</f>
        <v>886260.1867051857</v>
      </c>
      <c r="F44" s="219">
        <f>(0.25)*F10*'Model GDF 3'!$I$57</f>
        <v>3803379.184561122</v>
      </c>
      <c r="G44" s="219">
        <f>(0.25)*G10*'Model GDF 4'!$I$57</f>
        <v>3248401.4708499447</v>
      </c>
      <c r="H44" s="227">
        <f>(0.25)*H10*'Model GDF 5'!$I$57</f>
        <v>611144.0934163524</v>
      </c>
      <c r="I44" s="229"/>
    </row>
    <row r="45" spans="1:9" ht="18">
      <c r="A45" s="198"/>
      <c r="B45" s="205" t="s">
        <v>44</v>
      </c>
      <c r="C45" s="212"/>
      <c r="D45" s="219">
        <f>0.5*('RD Costs'!$B$43)*$D$9</f>
        <v>296495.17853925383</v>
      </c>
      <c r="E45" s="219">
        <f>0.5*('RD Costs'!$B$43)*$E$9</f>
        <v>885716.5291109068</v>
      </c>
      <c r="F45" s="219">
        <f>0.5*('RD Costs'!$B$43)*$F$9</f>
        <v>2867711.417515681</v>
      </c>
      <c r="G45" s="219">
        <f>0.5*('RD Costs'!$B$43)*$G$9</f>
        <v>1966416.3281764414</v>
      </c>
      <c r="H45" s="227">
        <f>0.5*('RD Costs'!$B$43)*$H$9</f>
        <v>265338.0580825865</v>
      </c>
      <c r="I45" s="229"/>
    </row>
    <row r="46" spans="1:9" ht="18">
      <c r="A46" s="198"/>
      <c r="B46" s="205" t="s">
        <v>45</v>
      </c>
      <c r="C46" s="212"/>
      <c r="D46" s="219">
        <f>0.5*('CertTesting Costs'!$B$29)*$D$9</f>
        <v>201037.7386958443</v>
      </c>
      <c r="E46" s="219">
        <f>0.5*('CertTesting Costs'!$B$29)*$E$9</f>
        <v>600557.6516125859</v>
      </c>
      <c r="F46" s="219">
        <f>0.5*('CertTesting Costs'!$B$29)*$F$9</f>
        <v>1944443.8235048058</v>
      </c>
      <c r="G46" s="219">
        <f>0.5*('CertTesting Costs'!$B$29)*$G$9</f>
        <v>1333323.1720624387</v>
      </c>
      <c r="H46" s="227">
        <f>0.5*('CertTesting Costs'!$B$29)*$H$9</f>
        <v>179911.73903628104</v>
      </c>
      <c r="I46" s="229"/>
    </row>
    <row r="47" spans="1:9" ht="18">
      <c r="A47" s="200"/>
      <c r="B47" s="206" t="s">
        <v>42</v>
      </c>
      <c r="C47" s="213"/>
      <c r="D47" s="219">
        <f>-D26*$C$73*(2000*365/$C$75)</f>
        <v>-3369.984288849252</v>
      </c>
      <c r="E47" s="219">
        <f>-E26*$C$73*(2000*365/$C$75)</f>
        <v>-28552.77940199958</v>
      </c>
      <c r="F47" s="219">
        <f>-F26*$C$73*(2000*365/$C$75)</f>
        <v>-184892.40925674955</v>
      </c>
      <c r="G47" s="219">
        <f>-G26*$C$73*(2000*365/$C$75)</f>
        <v>-253564.88124828218</v>
      </c>
      <c r="H47" s="219">
        <f>-H26*$C$73*(2000*365/$C$75)</f>
        <v>-68429.46961364322</v>
      </c>
      <c r="I47" s="229"/>
    </row>
    <row r="48" spans="1:9" ht="18">
      <c r="A48" s="197">
        <v>3</v>
      </c>
      <c r="B48" s="204" t="s">
        <v>46</v>
      </c>
      <c r="C48" s="211"/>
      <c r="D48" s="218">
        <f>SUM(D49:D52)/(D$27*365*2000)</f>
        <v>4.028296577705131</v>
      </c>
      <c r="E48" s="218">
        <f>SUM(E49:E52)/(E$27*365*2000)</f>
        <v>1.380385803274591</v>
      </c>
      <c r="F48" s="218">
        <f>SUM(F49:F52)/(F$27*365*2000)</f>
        <v>0.7705366890514134</v>
      </c>
      <c r="G48" s="218">
        <f>SUM(G49:G52)/(G$27*365*2000)</f>
        <v>0.36591642870895585</v>
      </c>
      <c r="H48" s="226">
        <f>SUM(H49:H52)/(H$27*365*2000)</f>
        <v>0.13653355967237793</v>
      </c>
      <c r="I48" s="228">
        <f>(SUM(D49:D52)+SUM(E49:E52)+SUM(F49:F52)+SUM(G49:G52)+SUM(H49:H52))/(C$27*2000*365)</f>
        <v>0.552295373565264</v>
      </c>
    </row>
    <row r="49" spans="1:9" ht="18">
      <c r="A49" s="198"/>
      <c r="B49" s="205" t="s">
        <v>39</v>
      </c>
      <c r="C49" s="212"/>
      <c r="D49" s="219">
        <f>(0.25)*D10*'Model GDF 1'!$I$75</f>
        <v>23213.815869582762</v>
      </c>
      <c r="E49" s="219">
        <f>(0.25)*E10*'Model GDF 2'!$I$75</f>
        <v>97188.07238400682</v>
      </c>
      <c r="F49" s="219">
        <f>(0.25)*F10*'Model GDF 3'!$I$75</f>
        <v>629337.5716985358</v>
      </c>
      <c r="G49" s="219">
        <f>(0.25)*G10*'Model GDF 4'!$I$75</f>
        <v>647313.9187040316</v>
      </c>
      <c r="H49" s="227">
        <f>(0.25)*H10*'Model GDF 5'!$I$75</f>
        <v>129762.71710312713</v>
      </c>
      <c r="I49" s="229"/>
    </row>
    <row r="50" spans="1:9" ht="18">
      <c r="A50" s="198"/>
      <c r="B50" s="205" t="s">
        <v>47</v>
      </c>
      <c r="C50" s="212"/>
      <c r="D50" s="219">
        <f>0.1*('RD Costs'!$B$43)*$D$9</f>
        <v>59299.035707850766</v>
      </c>
      <c r="E50" s="219">
        <f>0.1*('RD Costs'!$B$43)*$E$9</f>
        <v>177143.30582218137</v>
      </c>
      <c r="F50" s="219">
        <f>0.1*('RD Costs'!$B$43)*$F$9</f>
        <v>573542.2835031362</v>
      </c>
      <c r="G50" s="219">
        <f>0.1*('RD Costs'!$B$43)*$G$9</f>
        <v>393283.26563528826</v>
      </c>
      <c r="H50" s="227">
        <f>0.1*('RD Costs'!$B$43)*$H$9</f>
        <v>53067.61161651731</v>
      </c>
      <c r="I50" s="229"/>
    </row>
    <row r="51" spans="1:9" ht="18">
      <c r="A51" s="198"/>
      <c r="B51" s="205" t="s">
        <v>48</v>
      </c>
      <c r="C51" s="212"/>
      <c r="D51" s="219">
        <f>0.1*('CertTesting Costs'!$B$29)*$D$9</f>
        <v>40207.54773916886</v>
      </c>
      <c r="E51" s="219">
        <f>0.1*('CertTesting Costs'!$B$29)*$E$9</f>
        <v>120111.5303225172</v>
      </c>
      <c r="F51" s="219">
        <f>0.1*('CertTesting Costs'!$B$29)*$F$9</f>
        <v>388888.7647009612</v>
      </c>
      <c r="G51" s="219">
        <f>0.1*('CertTesting Costs'!$B$29)*$G$9</f>
        <v>266664.6344124878</v>
      </c>
      <c r="H51" s="227">
        <f>0.1*('CertTesting Costs'!$B$29)*$H$9</f>
        <v>35982.34780725621</v>
      </c>
      <c r="I51" s="229"/>
    </row>
    <row r="52" spans="1:9" ht="18">
      <c r="A52" s="200"/>
      <c r="B52" s="206" t="s">
        <v>42</v>
      </c>
      <c r="C52" s="213"/>
      <c r="D52" s="219">
        <f>-D27*$C$73*(2000*365/$C$75)</f>
        <v>-6848.677748306544</v>
      </c>
      <c r="E52" s="219">
        <f>-E27*$C$73*(2000*365/$C$75)</f>
        <v>-58026.616204063655</v>
      </c>
      <c r="F52" s="219">
        <f>-F27*$C$73*(2000*365/$C$75)</f>
        <v>-375749.0897798458</v>
      </c>
      <c r="G52" s="219">
        <f>-G27*$C$73*(2000*365/$C$75)</f>
        <v>-515309.2747948961</v>
      </c>
      <c r="H52" s="219">
        <f>-H27*$C$73*(2000*365/$C$75)</f>
        <v>-139066.3414728878</v>
      </c>
      <c r="I52" s="229"/>
    </row>
    <row r="53" spans="1:9" ht="18">
      <c r="A53" s="197">
        <v>4</v>
      </c>
      <c r="B53" s="204" t="s">
        <v>49</v>
      </c>
      <c r="C53" s="211"/>
      <c r="D53" s="218">
        <f>SUM(D54:D57)/(D$28*365*2000)</f>
        <v>62.14642639350258</v>
      </c>
      <c r="E53" s="218">
        <f>SUM(E54:E57)/(E$28*365*2000)</f>
        <v>22.592954997233903</v>
      </c>
      <c r="F53" s="218">
        <f>SUM(F54:F57)/(F$28*365*2000)</f>
        <v>12.987831448218861</v>
      </c>
      <c r="G53" s="218">
        <f>SUM(G54:G57)/(G$28*365*2000)</f>
        <v>7.2800688893865715</v>
      </c>
      <c r="H53" s="226">
        <f>SUM(H54:H57)/(H$28*365*2000)</f>
        <v>4.426187609970432</v>
      </c>
      <c r="I53" s="230">
        <f>(SUM(D54:D57)+SUM(E54:E57)+SUM(F54:F57)+SUM(G54:G57)+SUM(H54:H57))/(C$28*2000*365)</f>
        <v>10.030867724601197</v>
      </c>
    </row>
    <row r="54" spans="1:9" ht="18">
      <c r="A54" s="198"/>
      <c r="B54" s="205" t="s">
        <v>39</v>
      </c>
      <c r="C54" s="212"/>
      <c r="D54" s="219">
        <f>(0.25)*D10*'Model GDF 1'!$I$82</f>
        <v>7213.572961433151</v>
      </c>
      <c r="E54" s="219">
        <f>(0.25)*E10*'Model GDF 2'!$I$82</f>
        <v>28013.727199802903</v>
      </c>
      <c r="F54" s="219">
        <f>(0.25)*F10*'Model GDF 3'!$I$82</f>
        <v>181401.79774828392</v>
      </c>
      <c r="G54" s="219">
        <f>(0.25)*G10*'Model GDF 4'!$I$82</f>
        <v>186583.3438856659</v>
      </c>
      <c r="H54" s="227">
        <f>(0.25)*H10*'Model GDF 5'!$I$82</f>
        <v>41960.98712481115</v>
      </c>
      <c r="I54" s="229"/>
    </row>
    <row r="55" spans="1:9" ht="18">
      <c r="A55" s="198"/>
      <c r="B55" s="205" t="s">
        <v>40</v>
      </c>
      <c r="C55" s="212"/>
      <c r="D55" s="219">
        <f>0.05*('RD Costs'!$B$43)*$D$9</f>
        <v>29649.517853925383</v>
      </c>
      <c r="E55" s="219">
        <f>0.05*('RD Costs'!$B$43)*$E$9</f>
        <v>88571.65291109068</v>
      </c>
      <c r="F55" s="219">
        <f>0.05*('RD Costs'!$B$43)*$F$9</f>
        <v>286771.1417515681</v>
      </c>
      <c r="G55" s="219">
        <f>0.05*('RD Costs'!$B$43)*$G$9</f>
        <v>196641.63281764413</v>
      </c>
      <c r="H55" s="227">
        <f>0.05*('RD Costs'!$B$43)*$H$9</f>
        <v>26533.805808258654</v>
      </c>
      <c r="I55" s="229"/>
    </row>
    <row r="56" spans="1:9" ht="18">
      <c r="A56" s="198"/>
      <c r="B56" s="205" t="s">
        <v>41</v>
      </c>
      <c r="C56" s="212"/>
      <c r="D56" s="219">
        <f>0.05*('CertTesting Costs'!$B$29)*$D$9</f>
        <v>20103.77386958443</v>
      </c>
      <c r="E56" s="219">
        <f>0.05*('CertTesting Costs'!$B$29)*$E$9</f>
        <v>60055.7651612586</v>
      </c>
      <c r="F56" s="219">
        <f>0.05*('CertTesting Costs'!$B$29)*$F$9</f>
        <v>194444.3823504806</v>
      </c>
      <c r="G56" s="219">
        <f>0.05*('CertTesting Costs'!$B$29)*$G$9</f>
        <v>133332.3172062439</v>
      </c>
      <c r="H56" s="227">
        <f>0.05*('CertTesting Costs'!$B$29)*$H$9</f>
        <v>17991.173903628103</v>
      </c>
      <c r="I56" s="229"/>
    </row>
    <row r="57" spans="1:9" ht="18">
      <c r="A57" s="200"/>
      <c r="B57" s="206" t="s">
        <v>42</v>
      </c>
      <c r="C57" s="213"/>
      <c r="D57" s="219">
        <f>-D28*$C$73*(2000*365/$C$75)</f>
        <v>-217.41834121608076</v>
      </c>
      <c r="E57" s="219">
        <f>-E28*$C$73*(2000*365/$C$75)</f>
        <v>-1842.1148001290048</v>
      </c>
      <c r="F57" s="219">
        <f>-F28*$C$73*(2000*365/$C$75)</f>
        <v>-11928.542532693518</v>
      </c>
      <c r="G57" s="219">
        <f>-G28*$C$73*(2000*365/$C$75)</f>
        <v>-16359.024596663367</v>
      </c>
      <c r="H57" s="219">
        <f>-H28*$C$73*(2000*365/$C$75)</f>
        <v>-4414.804491202789</v>
      </c>
      <c r="I57" s="229"/>
    </row>
    <row r="58" spans="1:9" ht="18">
      <c r="A58" s="197">
        <v>5</v>
      </c>
      <c r="B58" s="204" t="s">
        <v>50</v>
      </c>
      <c r="C58" s="211"/>
      <c r="D58" s="218">
        <f>SUM(D59:D62)/(D$29*365*2000)</f>
        <v>2.961110999422598</v>
      </c>
      <c r="E58" s="218">
        <f>SUM(E59:E62)/(E$29*365*2000)</f>
        <v>0.932727850896</v>
      </c>
      <c r="F58" s="218">
        <f>SUM(F59:F62)/(F$29*365*2000)</f>
        <v>0.4401574124849721</v>
      </c>
      <c r="G58" s="218">
        <f>SUM(G59:G62)/(G$29*365*2000)</f>
        <v>0.14745164023716237</v>
      </c>
      <c r="H58" s="226">
        <f>SUM(H59:H62)/(H$29*365*2000)</f>
        <v>0.0010987541132578213</v>
      </c>
      <c r="I58" s="228">
        <f>(SUM(D59:D62)+SUM(E59:E62)+SUM(F59:F62)+SUM(G59:G62)+SUM(H59:H62))/(C$29*2000*365)</f>
        <v>0.2885182471712458</v>
      </c>
    </row>
    <row r="59" spans="1:9" ht="18">
      <c r="A59" s="198"/>
      <c r="B59" s="205" t="s">
        <v>39</v>
      </c>
      <c r="C59" s="212"/>
      <c r="D59" s="219">
        <f>(0.25)*D10*'Model GDF 1'!$I$89</f>
        <v>7213.572961433151</v>
      </c>
      <c r="E59" s="219">
        <f>(0.25)*E10*'Model GDF 2'!$I$89</f>
        <v>28013.727199802903</v>
      </c>
      <c r="F59" s="219">
        <f>(0.25)*F10*'Model GDF 3'!$I$89</f>
        <v>181401.79774828392</v>
      </c>
      <c r="G59" s="219">
        <f>(0.25)*G10*'Model GDF 4'!$I$89</f>
        <v>186583.3438856659</v>
      </c>
      <c r="H59" s="227">
        <f>(0.25)*H10*'Model GDF 5'!$I$89</f>
        <v>41960.98712481115</v>
      </c>
      <c r="I59" s="229"/>
    </row>
    <row r="60" spans="1:9" ht="18">
      <c r="A60" s="198"/>
      <c r="B60" s="205" t="s">
        <v>40</v>
      </c>
      <c r="C60" s="212"/>
      <c r="D60" s="219">
        <f>0.05*('RD Costs'!$B$43)*$D$9</f>
        <v>29649.517853925383</v>
      </c>
      <c r="E60" s="219">
        <f>0.05*('RD Costs'!$B$43)*$E$9</f>
        <v>88571.65291109068</v>
      </c>
      <c r="F60" s="219">
        <f>0.05*('RD Costs'!$B$43)*$F$9</f>
        <v>286771.1417515681</v>
      </c>
      <c r="G60" s="219">
        <f>0.05*('RD Costs'!$B$43)*$G$9</f>
        <v>196641.63281764413</v>
      </c>
      <c r="H60" s="227">
        <f>0.05*('RD Costs'!$B$43)*$H$9</f>
        <v>26533.805808258654</v>
      </c>
      <c r="I60" s="229"/>
    </row>
    <row r="61" spans="1:9" ht="18">
      <c r="A61" s="198"/>
      <c r="B61" s="205" t="s">
        <v>41</v>
      </c>
      <c r="C61" s="212"/>
      <c r="D61" s="219">
        <f>0.05*('CertTesting Costs'!$B$29)*$D$9</f>
        <v>20103.77386958443</v>
      </c>
      <c r="E61" s="219">
        <f>0.05*('CertTesting Costs'!$B$29)*$E$9</f>
        <v>60055.7651612586</v>
      </c>
      <c r="F61" s="219">
        <f>0.05*('CertTesting Costs'!$B$29)*$F$9</f>
        <v>194444.3823504806</v>
      </c>
      <c r="G61" s="219">
        <f>0.05*('CertTesting Costs'!$B$29)*$G$9</f>
        <v>133332.3172062439</v>
      </c>
      <c r="H61" s="227">
        <f>0.05*('CertTesting Costs'!$B$29)*$H$9</f>
        <v>17991.173903628103</v>
      </c>
      <c r="I61" s="229"/>
    </row>
    <row r="62" spans="1:9" ht="18">
      <c r="A62" s="200"/>
      <c r="B62" s="206" t="s">
        <v>42</v>
      </c>
      <c r="C62" s="213"/>
      <c r="D62" s="219">
        <f>-D29*$C$73*(2000*365/$C$75)</f>
        <v>-4239.657653713575</v>
      </c>
      <c r="E62" s="219">
        <f>-E29*$C$73*(2000*365/$C$75)</f>
        <v>-35921.238602515594</v>
      </c>
      <c r="F62" s="219">
        <f>-F29*$C$73*(2000*365/$C$75)</f>
        <v>-232606.57938752358</v>
      </c>
      <c r="G62" s="219">
        <f>-G29*$C$73*(2000*365/$C$75)</f>
        <v>-319000.97963493573</v>
      </c>
      <c r="H62" s="219">
        <f>-H29*$C$73*(2000*365/$C$75)</f>
        <v>-86088.68757845438</v>
      </c>
      <c r="I62" s="229"/>
    </row>
    <row r="63" spans="1:9" ht="18">
      <c r="A63" s="197">
        <v>6</v>
      </c>
      <c r="B63" s="204" t="s">
        <v>51</v>
      </c>
      <c r="C63" s="211"/>
      <c r="D63" s="218">
        <f>SUM(D64:D67)/(D$30*365*2000)</f>
        <v>10.487359123416105</v>
      </c>
      <c r="E63" s="218">
        <f>SUM(E64:E67)/(E$30*365*2000)</f>
        <v>3.7671852413310565</v>
      </c>
      <c r="F63" s="218">
        <f>SUM(F64:F67)/(F$30*365*2000)</f>
        <v>2.1001086903894945</v>
      </c>
      <c r="G63" s="218">
        <f>SUM(G64:G67)/(G$30*365*2000)</f>
        <v>1.0987885705329223</v>
      </c>
      <c r="H63" s="226">
        <f>SUM(H64:H67)/(H$30*365*2000)</f>
        <v>0.5142375884117388</v>
      </c>
      <c r="I63" s="228">
        <f>(SUM(D64:D67)+SUM(E64:E67)+SUM(F64:F67)+SUM(G64:G67)+SUM(H64:H67))/(C$30*2000*365)</f>
        <v>1.5682781420917518</v>
      </c>
    </row>
    <row r="64" spans="1:9" ht="18">
      <c r="A64" s="201"/>
      <c r="B64" s="205" t="s">
        <v>39</v>
      </c>
      <c r="C64" s="212"/>
      <c r="D64" s="219">
        <f>(0.25)*D10*'Model GDF 1'!$I$100</f>
        <v>74436.33613755541</v>
      </c>
      <c r="E64" s="219">
        <f>(0.25)*E10*'Model GDF 2'!$I$100</f>
        <v>279479.55158316315</v>
      </c>
      <c r="F64" s="219">
        <f>(0.25)*F10*'Model GDF 3'!$I$100</f>
        <v>1459665.5700200691</v>
      </c>
      <c r="G64" s="219">
        <f>(0.25)*G10*'Model GDF 4'!$I$100</f>
        <v>1381328.2038811096</v>
      </c>
      <c r="H64" s="227">
        <f>(0.25)*H10*'Model GDF 5'!$I$100</f>
        <v>237721.4659506076</v>
      </c>
      <c r="I64" s="229"/>
    </row>
    <row r="65" spans="1:9" ht="18">
      <c r="A65" s="201"/>
      <c r="B65" s="205" t="s">
        <v>52</v>
      </c>
      <c r="C65" s="212"/>
      <c r="D65" s="219">
        <f>0.25*('RD Costs'!$B$43)*$D$9</f>
        <v>148247.58926962691</v>
      </c>
      <c r="E65" s="219">
        <f>0.25*('RD Costs'!$B$43)*$E$9</f>
        <v>442858.2645554534</v>
      </c>
      <c r="F65" s="219">
        <f>0.25*('RD Costs'!$B$43)*$F$9</f>
        <v>1433855.7087578406</v>
      </c>
      <c r="G65" s="219">
        <f>0.25*('RD Costs'!$B$43)*$G$9</f>
        <v>983208.1640882207</v>
      </c>
      <c r="H65" s="227">
        <f>0.25*('RD Costs'!$B$43)*$H$9</f>
        <v>132669.02904129325</v>
      </c>
      <c r="I65" s="229"/>
    </row>
    <row r="66" spans="1:9" ht="18">
      <c r="A66" s="201"/>
      <c r="B66" s="205" t="s">
        <v>53</v>
      </c>
      <c r="C66" s="212"/>
      <c r="D66" s="219">
        <f>0.25*('CertTesting Costs'!$B$29)*$D$9</f>
        <v>100518.86934792215</v>
      </c>
      <c r="E66" s="219">
        <f>0.25*('CertTesting Costs'!$B$29)*$E$9</f>
        <v>300278.82580629294</v>
      </c>
      <c r="F66" s="219">
        <f>0.25*('CertTesting Costs'!$B$29)*$F$9</f>
        <v>972221.9117524029</v>
      </c>
      <c r="G66" s="219">
        <f>0.25*('CertTesting Costs'!$B$29)*$G$9</f>
        <v>666661.5860312193</v>
      </c>
      <c r="H66" s="227">
        <f>0.25*('CertTesting Costs'!$B$29)*$H$9</f>
        <v>89955.86951814052</v>
      </c>
      <c r="I66" s="229"/>
    </row>
    <row r="67" spans="1:9" ht="18">
      <c r="A67" s="199"/>
      <c r="B67" s="206" t="s">
        <v>42</v>
      </c>
      <c r="C67" s="213"/>
      <c r="D67" s="220">
        <f>-D30*$C$73*(2000*365/$C$75)</f>
        <v>-7174.805260130665</v>
      </c>
      <c r="E67" s="220">
        <f>-E30*$C$73*(2000*365/$C$75)</f>
        <v>-60789.788404257146</v>
      </c>
      <c r="F67" s="220">
        <f>-F30*$C$73*(2000*365/$C$75)</f>
        <v>-393641.9035788861</v>
      </c>
      <c r="G67" s="220">
        <f>-G30*$C$73*(2000*365/$C$75)</f>
        <v>-539847.811689891</v>
      </c>
      <c r="H67" s="220">
        <f>-H30*$C$73*(2000*365/$C$75)</f>
        <v>-145688.548209692</v>
      </c>
      <c r="I67" s="231"/>
    </row>
    <row r="68" spans="1:9" ht="18">
      <c r="A68" s="202"/>
      <c r="B68" s="207" t="s">
        <v>54</v>
      </c>
      <c r="C68" s="214"/>
      <c r="D68" s="221">
        <f>SUM(D39:D42,D44:D47,D49:D52,D54:D57,D59:D62,D64:D67)</f>
        <v>1431214.5409790664</v>
      </c>
      <c r="E68" s="221">
        <f>SUM(E39:E42,E44:E47,E49:E52,E54:E57,E59:E62,E64:E67)</f>
        <v>4290228.113498494</v>
      </c>
      <c r="F68" s="221">
        <f>SUM(F39:F42,F44:F47,F49:F52,F54:F57,F59:F62,F64:F67)</f>
        <v>15126850.592485802</v>
      </c>
      <c r="G68" s="221">
        <f>SUM(G39:G42,G44:G47,G49:G52,G54:G57,G59:G62,G64:G67)</f>
        <v>10707064.271693999</v>
      </c>
      <c r="H68" s="221">
        <f>SUM(H39:H42,H44:H47,H49:H52,H54:H57,H59:H62,H64:H67)</f>
        <v>1467867.0156326005</v>
      </c>
      <c r="I68" s="232">
        <f>SUM(D68:H68)</f>
        <v>33023224.534289964</v>
      </c>
    </row>
    <row r="69" spans="1:9" ht="18.75">
      <c r="A69" s="202"/>
      <c r="B69" s="208" t="s">
        <v>55</v>
      </c>
      <c r="C69" s="215"/>
      <c r="D69" s="222">
        <f>D68/D10</f>
        <v>2695.3192862129317</v>
      </c>
      <c r="E69" s="222">
        <f>E68/E10</f>
        <v>2704.6355325443615</v>
      </c>
      <c r="F69" s="222">
        <f>F68/F10</f>
        <v>2945.345092338329</v>
      </c>
      <c r="G69" s="222">
        <f>G68/G10</f>
        <v>3040.3112904830055</v>
      </c>
      <c r="H69" s="222">
        <f>H68/H10</f>
        <v>3088.945739967594</v>
      </c>
      <c r="I69" s="233" t="s">
        <v>56</v>
      </c>
    </row>
    <row r="70" spans="1:9" ht="18">
      <c r="A70" s="202"/>
      <c r="B70" s="208" t="s">
        <v>57</v>
      </c>
      <c r="C70" s="216"/>
      <c r="D70" s="223">
        <f>D68*100/(D11*1000000)</f>
        <v>1.697340568754008</v>
      </c>
      <c r="E70" s="223">
        <f>E68*100/(E11*1000000)</f>
        <v>0.6005153626823654</v>
      </c>
      <c r="F70" s="223">
        <f>F68*100/(F11*1000000)</f>
        <v>0.326980281643783</v>
      </c>
      <c r="G70" s="223">
        <f>G68*100/(G11*1000000)</f>
        <v>0.1687615221443655</v>
      </c>
      <c r="H70" s="223">
        <f>H68*100/(H11*1000000)</f>
        <v>0.08573056096756922</v>
      </c>
      <c r="I70" s="234">
        <f>I68*100/G17</f>
        <v>0.24494806513476552</v>
      </c>
    </row>
    <row r="71" spans="1:9" ht="18.75">
      <c r="A71" s="202"/>
      <c r="B71" s="208" t="s">
        <v>58</v>
      </c>
      <c r="C71" s="216"/>
      <c r="D71" s="224">
        <f>SUM(D39:D42,D44:D47,D49:D52,D54:D57,D59:D62,D64:D67)/(D31*365*2000)</f>
        <v>12.488651474665948</v>
      </c>
      <c r="E71" s="224">
        <f>SUM(E39:E42,E44:E47,E49:E52,E54:E57,E59:E62,E64:E67)/(E31*365*2000)</f>
        <v>4.418457443239009</v>
      </c>
      <c r="F71" s="224">
        <f>SUM(F39:F42,F44:F47,F49:F52,F54:F57,F59:F62,F64:F67)/(F31*365*2000)</f>
        <v>2.405847625226435</v>
      </c>
      <c r="G71" s="224">
        <f>SUM(G39:G42,G44:G47,G49:G52,G54:G57,G59:G62,G64:G67)/(G31*365*2000)</f>
        <v>1.241709454892874</v>
      </c>
      <c r="H71" s="224">
        <f>SUM(H39:H42,H44:H47,H49:H52,H54:H57,H59:H62,H64:H67)/(H31*365*2000)</f>
        <v>0.630786252541838</v>
      </c>
      <c r="I71" s="235" t="s">
        <v>59</v>
      </c>
    </row>
    <row r="72" spans="1:9" ht="18.75">
      <c r="A72" s="78"/>
      <c r="B72" s="78" t="s">
        <v>60</v>
      </c>
      <c r="C72" s="78"/>
      <c r="D72" s="78"/>
      <c r="E72" s="78"/>
      <c r="F72" s="78"/>
      <c r="G72" s="78"/>
      <c r="H72" s="78"/>
      <c r="I72" s="236" t="s">
        <v>61</v>
      </c>
    </row>
    <row r="73" spans="1:9" ht="18">
      <c r="A73" s="78"/>
      <c r="B73" s="78" t="s">
        <v>62</v>
      </c>
      <c r="C73" s="217">
        <v>1.5</v>
      </c>
      <c r="D73" s="78"/>
      <c r="E73" s="78"/>
      <c r="F73" s="78"/>
      <c r="G73" s="78"/>
      <c r="H73" s="78"/>
      <c r="I73" s="78"/>
    </row>
    <row r="74" spans="1:9" ht="18">
      <c r="A74" s="78"/>
      <c r="B74" s="78" t="s">
        <v>63</v>
      </c>
      <c r="C74" s="78"/>
      <c r="D74" s="78"/>
      <c r="E74" s="78"/>
      <c r="F74" s="78"/>
      <c r="G74" s="78"/>
      <c r="H74" s="78"/>
      <c r="I74" s="78"/>
    </row>
    <row r="75" spans="1:9" ht="18">
      <c r="A75" s="78"/>
      <c r="B75" s="78" t="s">
        <v>64</v>
      </c>
      <c r="C75" s="148">
        <v>6.3</v>
      </c>
      <c r="D75" s="78"/>
      <c r="E75" s="78"/>
      <c r="F75" s="78"/>
      <c r="G75" s="78"/>
      <c r="H75" s="78"/>
      <c r="I75" s="78"/>
    </row>
    <row r="76" ht="15">
      <c r="A76" s="93"/>
    </row>
    <row r="77" spans="1:9" ht="15">
      <c r="A77" s="121"/>
      <c r="B77" s="121"/>
      <c r="C77" s="121"/>
      <c r="D77" s="121"/>
      <c r="E77" s="121"/>
      <c r="F77" s="121"/>
      <c r="G77" s="121"/>
      <c r="H77" s="121"/>
      <c r="I77" s="121"/>
    </row>
    <row r="78" ht="15">
      <c r="A78" s="93"/>
    </row>
    <row r="79" ht="15">
      <c r="A79" s="93"/>
    </row>
    <row r="80" ht="15">
      <c r="A80" s="93"/>
    </row>
    <row r="81" ht="15">
      <c r="A81" s="93"/>
    </row>
    <row r="82" ht="15">
      <c r="A82" s="93"/>
    </row>
  </sheetData>
  <printOptions/>
  <pageMargins left="0.75" right="0.75" top="1" bottom="1" header="0.5" footer="0.5"/>
  <pageSetup fitToHeight="1" fitToWidth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B35"/>
  <sheetViews>
    <sheetView zoomScale="75" zoomScaleNormal="75" workbookViewId="0" topLeftCell="A7">
      <selection activeCell="C5" sqref="C5"/>
    </sheetView>
  </sheetViews>
  <sheetFormatPr defaultColWidth="9.140625" defaultRowHeight="12.75"/>
  <cols>
    <col min="1" max="1" width="95.00390625" style="97" customWidth="1"/>
    <col min="2" max="2" width="21.57421875" style="97" customWidth="1"/>
    <col min="3" max="16384" width="9.140625" style="97" customWidth="1"/>
  </cols>
  <sheetData>
    <row r="5" spans="1:2" ht="18">
      <c r="A5" s="94" t="s">
        <v>194</v>
      </c>
      <c r="B5" s="101"/>
    </row>
    <row r="6" spans="1:2" ht="18">
      <c r="A6" s="19"/>
      <c r="B6" s="19"/>
    </row>
    <row r="7" spans="1:2" ht="18">
      <c r="A7" s="20" t="s">
        <v>170</v>
      </c>
      <c r="B7" s="20" t="s">
        <v>171</v>
      </c>
    </row>
    <row r="8" spans="1:2" ht="18">
      <c r="A8" s="21" t="s">
        <v>195</v>
      </c>
      <c r="B8" s="22"/>
    </row>
    <row r="9" spans="1:2" ht="18">
      <c r="A9" s="2" t="s">
        <v>196</v>
      </c>
      <c r="B9" s="253">
        <v>10000</v>
      </c>
    </row>
    <row r="10" spans="1:2" ht="18">
      <c r="A10" s="2" t="s">
        <v>197</v>
      </c>
      <c r="B10" s="254">
        <f>0.2*B9</f>
        <v>2000</v>
      </c>
    </row>
    <row r="11" spans="1:2" ht="18">
      <c r="A11" s="21" t="s">
        <v>198</v>
      </c>
      <c r="B11" s="22">
        <v>5</v>
      </c>
    </row>
    <row r="12" spans="1:2" ht="18">
      <c r="A12" s="21" t="s">
        <v>199</v>
      </c>
      <c r="B12" s="22"/>
    </row>
    <row r="13" spans="1:2" ht="18">
      <c r="A13" s="21" t="s">
        <v>200</v>
      </c>
      <c r="B13" s="22">
        <f>'RD Costs'!$B37</f>
        <v>64</v>
      </c>
    </row>
    <row r="14" spans="1:2" ht="18">
      <c r="A14" s="21" t="s">
        <v>201</v>
      </c>
      <c r="B14" s="22">
        <f>'RD Costs'!$B39</f>
        <v>14</v>
      </c>
    </row>
    <row r="15" spans="1:2" ht="18">
      <c r="A15" s="2" t="s">
        <v>202</v>
      </c>
      <c r="B15" s="255">
        <f>'RD Costs'!B38</f>
        <v>16</v>
      </c>
    </row>
    <row r="16" spans="1:2" ht="18">
      <c r="A16" s="2"/>
      <c r="B16" s="256"/>
    </row>
    <row r="17" spans="1:2" ht="18">
      <c r="A17" s="2" t="s">
        <v>203</v>
      </c>
      <c r="B17" s="257">
        <f>B9*B11*(B13+B15)+B10*B11*(B14)</f>
        <v>4140000</v>
      </c>
    </row>
    <row r="18" spans="1:2" ht="18">
      <c r="A18" s="2"/>
      <c r="B18" s="256"/>
    </row>
    <row r="19" spans="1:2" ht="18">
      <c r="A19" s="2" t="s">
        <v>204</v>
      </c>
      <c r="B19" s="256"/>
    </row>
    <row r="20" spans="1:2" ht="18">
      <c r="A20" s="2" t="s">
        <v>205</v>
      </c>
      <c r="B20" s="254">
        <f>75000+75000+20000</f>
        <v>170000</v>
      </c>
    </row>
    <row r="21" spans="1:2" ht="18">
      <c r="A21" s="2" t="s">
        <v>206</v>
      </c>
      <c r="B21" s="254">
        <f>0.2*B20</f>
        <v>34000</v>
      </c>
    </row>
    <row r="22" spans="1:2" ht="18">
      <c r="A22" s="21" t="s">
        <v>198</v>
      </c>
      <c r="B22" s="22">
        <v>2</v>
      </c>
    </row>
    <row r="23" spans="1:2" ht="18">
      <c r="A23" s="21" t="s">
        <v>207</v>
      </c>
      <c r="B23" s="22">
        <f>B13</f>
        <v>64</v>
      </c>
    </row>
    <row r="24" spans="1:2" ht="18">
      <c r="A24" s="2" t="s">
        <v>208</v>
      </c>
      <c r="B24" s="255">
        <f>B15</f>
        <v>16</v>
      </c>
    </row>
    <row r="25" spans="1:2" ht="18">
      <c r="A25" s="2" t="s">
        <v>209</v>
      </c>
      <c r="B25" s="256">
        <f>B14</f>
        <v>14</v>
      </c>
    </row>
    <row r="26" spans="1:2" ht="18">
      <c r="A26" s="2" t="s">
        <v>210</v>
      </c>
      <c r="B26" s="257">
        <f>B20*B22*(B23+B24)+B21*B22*B25</f>
        <v>28152000</v>
      </c>
    </row>
    <row r="27" spans="1:2" ht="18">
      <c r="A27" s="2"/>
      <c r="B27" s="1"/>
    </row>
    <row r="28" spans="1:2" ht="18">
      <c r="A28" s="258" t="s">
        <v>211</v>
      </c>
      <c r="B28" s="259">
        <f>SUM(B17,B26)</f>
        <v>32292000</v>
      </c>
    </row>
    <row r="29" spans="1:2" ht="18">
      <c r="A29" s="260" t="s">
        <v>212</v>
      </c>
      <c r="B29" s="261">
        <f>B28*(0.1*(1+0.1)^5)/(((1+0.1)^5)-1)</f>
        <v>8518548.249823913</v>
      </c>
    </row>
    <row r="30" ht="18">
      <c r="B30" s="98"/>
    </row>
    <row r="31" ht="18">
      <c r="A31" s="97" t="s">
        <v>60</v>
      </c>
    </row>
    <row r="32" ht="18">
      <c r="A32" s="97" t="s">
        <v>213</v>
      </c>
    </row>
    <row r="33" ht="18">
      <c r="A33" s="97" t="s">
        <v>214</v>
      </c>
    </row>
    <row r="34" ht="18">
      <c r="A34" s="97" t="s">
        <v>215</v>
      </c>
    </row>
    <row r="35" ht="18">
      <c r="A35" s="97" t="s">
        <v>216</v>
      </c>
    </row>
  </sheetData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8">
      <selection activeCell="K6" sqref="K6"/>
    </sheetView>
  </sheetViews>
  <sheetFormatPr defaultColWidth="9.140625" defaultRowHeight="12.75"/>
  <cols>
    <col min="1" max="1" width="12.8515625" style="97" customWidth="1"/>
    <col min="2" max="2" width="13.28125" style="287" customWidth="1"/>
    <col min="3" max="3" width="15.28125" style="288" customWidth="1"/>
    <col min="4" max="4" width="5.140625" style="97" customWidth="1"/>
    <col min="5" max="5" width="15.57421875" style="97" customWidth="1"/>
    <col min="6" max="6" width="13.57421875" style="97" customWidth="1"/>
    <col min="7" max="7" width="14.7109375" style="98" customWidth="1"/>
    <col min="8" max="16384" width="9.140625" style="97" customWidth="1"/>
  </cols>
  <sheetData>
    <row r="1" spans="1:7" ht="18">
      <c r="A1" s="94" t="s">
        <v>217</v>
      </c>
      <c r="B1" s="262"/>
      <c r="C1" s="263"/>
      <c r="D1" s="101"/>
      <c r="E1" s="101"/>
      <c r="F1" s="101"/>
      <c r="G1" s="101"/>
    </row>
    <row r="3" spans="1:7" ht="18">
      <c r="A3" s="264" t="s">
        <v>218</v>
      </c>
      <c r="B3" s="265"/>
      <c r="C3" s="266"/>
      <c r="E3" s="264" t="s">
        <v>219</v>
      </c>
      <c r="F3" s="267"/>
      <c r="G3" s="268"/>
    </row>
    <row r="4" spans="1:7" ht="18">
      <c r="A4" s="269"/>
      <c r="B4" s="270"/>
      <c r="C4" s="271" t="s">
        <v>220</v>
      </c>
      <c r="E4" s="269"/>
      <c r="F4" s="272"/>
      <c r="G4" s="273" t="s">
        <v>220</v>
      </c>
    </row>
    <row r="5" spans="1:7" ht="18">
      <c r="A5" s="274" t="s">
        <v>221</v>
      </c>
      <c r="B5" s="275"/>
      <c r="C5" s="276" t="s">
        <v>222</v>
      </c>
      <c r="E5" s="274" t="s">
        <v>221</v>
      </c>
      <c r="F5" s="275"/>
      <c r="G5" s="276" t="s">
        <v>222</v>
      </c>
    </row>
    <row r="6" spans="1:7" ht="18">
      <c r="A6" s="277">
        <v>3000</v>
      </c>
      <c r="B6" s="278"/>
      <c r="C6" s="279">
        <v>0.038</v>
      </c>
      <c r="E6" s="277">
        <v>3000</v>
      </c>
      <c r="F6" s="278"/>
      <c r="G6" s="280">
        <f>C6*(1-0.1*(1999-1991))</f>
        <v>0.007599999999999998</v>
      </c>
    </row>
    <row r="7" spans="1:7" ht="18">
      <c r="A7" s="281">
        <v>8000</v>
      </c>
      <c r="B7" s="282"/>
      <c r="C7" s="283">
        <v>0.048</v>
      </c>
      <c r="E7" s="281">
        <v>8000</v>
      </c>
      <c r="F7" s="282"/>
      <c r="G7" s="280">
        <f>C7*(1-0.1*(1999-1991))</f>
        <v>0.009599999999999997</v>
      </c>
    </row>
    <row r="8" spans="1:7" ht="18">
      <c r="A8" s="281">
        <v>17500</v>
      </c>
      <c r="B8" s="282"/>
      <c r="C8" s="283">
        <v>0.15</v>
      </c>
      <c r="E8" s="281">
        <v>17500</v>
      </c>
      <c r="F8" s="282"/>
      <c r="G8" s="280">
        <f>C8*(1-0.1*(1999-1991))</f>
        <v>0.029999999999999992</v>
      </c>
    </row>
    <row r="9" spans="1:7" ht="18">
      <c r="A9" s="281">
        <v>37500</v>
      </c>
      <c r="B9" s="282"/>
      <c r="C9" s="283">
        <v>0.235</v>
      </c>
      <c r="E9" s="281">
        <v>37500</v>
      </c>
      <c r="F9" s="282"/>
      <c r="G9" s="280">
        <f>C9*(1-0.05*(1999-1991))</f>
        <v>0.14100000000000001</v>
      </c>
    </row>
    <row r="10" spans="1:7" ht="18">
      <c r="A10" s="281">
        <v>75000</v>
      </c>
      <c r="B10" s="282"/>
      <c r="C10" s="283">
        <v>0.323</v>
      </c>
      <c r="E10" s="281">
        <v>75000</v>
      </c>
      <c r="F10" s="282"/>
      <c r="G10" s="280">
        <f>1-G6-G7-G8-G9-G11-G12</f>
        <v>0.45651999999999987</v>
      </c>
    </row>
    <row r="11" spans="1:7" ht="18">
      <c r="A11" s="281">
        <v>150000</v>
      </c>
      <c r="B11" s="282"/>
      <c r="C11" s="283">
        <v>0.182</v>
      </c>
      <c r="E11" s="281">
        <v>150000</v>
      </c>
      <c r="F11" s="282"/>
      <c r="G11" s="280">
        <f>C11*(1+0.09*(1999-1991))</f>
        <v>0.31304</v>
      </c>
    </row>
    <row r="12" spans="1:7" ht="18">
      <c r="A12" s="284">
        <v>300000</v>
      </c>
      <c r="B12" s="285"/>
      <c r="C12" s="286">
        <v>0.024</v>
      </c>
      <c r="E12" s="284">
        <v>300000</v>
      </c>
      <c r="F12" s="285"/>
      <c r="G12" s="280">
        <f>C12*(1+0.095*(1999-1991))</f>
        <v>0.04224</v>
      </c>
    </row>
    <row r="13" spans="6:7" ht="18">
      <c r="F13" s="287"/>
      <c r="G13" s="288"/>
    </row>
    <row r="14" spans="1:7" ht="18">
      <c r="A14" s="97" t="s">
        <v>223</v>
      </c>
      <c r="B14" s="287">
        <v>70660.5</v>
      </c>
      <c r="C14" s="288" t="s">
        <v>224</v>
      </c>
      <c r="E14" s="97" t="s">
        <v>225</v>
      </c>
      <c r="F14" s="287">
        <v>99779.1</v>
      </c>
      <c r="G14" s="288" t="s">
        <v>224</v>
      </c>
    </row>
    <row r="16" spans="1:5" ht="18">
      <c r="A16" s="97" t="s">
        <v>226</v>
      </c>
      <c r="E16" s="97" t="s">
        <v>227</v>
      </c>
    </row>
    <row r="17" spans="1:5" ht="18">
      <c r="A17" s="97" t="s">
        <v>228</v>
      </c>
      <c r="E17" s="97" t="s">
        <v>229</v>
      </c>
    </row>
    <row r="18" ht="18">
      <c r="E18" s="97" t="s">
        <v>230</v>
      </c>
    </row>
  </sheetData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="50" zoomScaleNormal="50" workbookViewId="0" topLeftCell="A1">
      <selection activeCell="A31" sqref="A31"/>
    </sheetView>
  </sheetViews>
  <sheetFormatPr defaultColWidth="9.140625" defaultRowHeight="12.75"/>
  <cols>
    <col min="1" max="12" width="9.140625" style="97" customWidth="1"/>
    <col min="13" max="13" width="11.421875" style="97" customWidth="1"/>
    <col min="14" max="16384" width="9.140625" style="97" customWidth="1"/>
  </cols>
  <sheetData>
    <row r="1" spans="1:25" ht="18">
      <c r="A1" s="289" t="s">
        <v>231</v>
      </c>
      <c r="B1" s="289" t="s">
        <v>170</v>
      </c>
      <c r="C1" s="290"/>
      <c r="D1" s="290"/>
      <c r="E1" s="290"/>
      <c r="F1" s="290"/>
      <c r="G1" s="289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</row>
    <row r="2" spans="1:25" ht="18">
      <c r="A2" s="289">
        <v>1</v>
      </c>
      <c r="B2" s="290" t="s">
        <v>247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</row>
    <row r="3" spans="1:25" ht="18">
      <c r="A3" s="289"/>
      <c r="B3" s="290" t="s">
        <v>248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</row>
    <row r="4" spans="1:25" ht="18">
      <c r="A4" s="289"/>
      <c r="B4" s="290" t="s">
        <v>249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</row>
    <row r="5" spans="1:25" ht="18">
      <c r="A5" s="289"/>
      <c r="B5" s="291" t="s">
        <v>60</v>
      </c>
      <c r="C5" s="290" t="s">
        <v>232</v>
      </c>
      <c r="D5" s="290" t="s">
        <v>233</v>
      </c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</row>
    <row r="6" spans="1:25" ht="18">
      <c r="A6" s="289"/>
      <c r="B6" s="290"/>
      <c r="C6" s="290" t="s">
        <v>234</v>
      </c>
      <c r="D6" s="290" t="s">
        <v>250</v>
      </c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</row>
    <row r="7" spans="1:25" ht="18">
      <c r="A7" s="289"/>
      <c r="B7" s="290"/>
      <c r="C7" s="290"/>
      <c r="D7" s="290" t="s">
        <v>251</v>
      </c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</row>
    <row r="8" spans="1:25" ht="18">
      <c r="A8" s="289"/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</row>
    <row r="9" spans="1:25" ht="18">
      <c r="A9" s="289">
        <v>2</v>
      </c>
      <c r="B9" s="290" t="s">
        <v>252</v>
      </c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</row>
    <row r="10" spans="1:25" ht="18">
      <c r="A10" s="289"/>
      <c r="B10" s="290" t="s">
        <v>253</v>
      </c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</row>
    <row r="11" spans="1:25" ht="18">
      <c r="A11" s="289"/>
      <c r="B11" s="290" t="s">
        <v>60</v>
      </c>
      <c r="C11" s="290" t="s">
        <v>232</v>
      </c>
      <c r="D11" s="290" t="s">
        <v>235</v>
      </c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</row>
    <row r="12" spans="1:25" ht="18">
      <c r="A12" s="289"/>
      <c r="B12" s="290"/>
      <c r="C12" s="290" t="s">
        <v>234</v>
      </c>
      <c r="D12" s="290" t="s">
        <v>236</v>
      </c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</row>
    <row r="13" spans="1:25" ht="18">
      <c r="A13" s="289"/>
      <c r="B13" s="290"/>
      <c r="C13" s="290" t="s">
        <v>237</v>
      </c>
      <c r="D13" s="290" t="s">
        <v>238</v>
      </c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</row>
    <row r="14" spans="1:25" ht="18">
      <c r="A14" s="289"/>
      <c r="B14" s="290"/>
      <c r="C14" s="290" t="s">
        <v>239</v>
      </c>
      <c r="D14" s="290" t="s">
        <v>240</v>
      </c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</row>
    <row r="15" spans="1:25" ht="18">
      <c r="A15" s="289"/>
      <c r="B15" s="290"/>
      <c r="C15" s="290" t="s">
        <v>241</v>
      </c>
      <c r="D15" s="290" t="s">
        <v>242</v>
      </c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</row>
    <row r="16" spans="1:25" ht="18">
      <c r="A16" s="289"/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</row>
    <row r="17" spans="1:25" ht="18">
      <c r="A17" s="289">
        <v>3</v>
      </c>
      <c r="B17" s="290" t="s">
        <v>254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</row>
    <row r="18" spans="1:25" ht="18">
      <c r="A18" s="289"/>
      <c r="B18" s="290" t="s">
        <v>255</v>
      </c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</row>
    <row r="19" spans="1:25" ht="18">
      <c r="A19" s="289"/>
      <c r="B19" s="290" t="s">
        <v>60</v>
      </c>
      <c r="C19" s="290" t="s">
        <v>232</v>
      </c>
      <c r="D19" s="290" t="s">
        <v>243</v>
      </c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</row>
    <row r="20" spans="1:25" ht="18">
      <c r="A20" s="289"/>
      <c r="B20" s="290"/>
      <c r="C20" s="290" t="s">
        <v>234</v>
      </c>
      <c r="D20" s="290" t="s">
        <v>244</v>
      </c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</row>
    <row r="21" spans="1:25" ht="18">
      <c r="A21" s="289"/>
      <c r="B21" s="290"/>
      <c r="C21" s="290" t="s">
        <v>237</v>
      </c>
      <c r="D21" s="290" t="s">
        <v>256</v>
      </c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</row>
    <row r="22" spans="1:25" ht="18">
      <c r="A22" s="289"/>
      <c r="B22" s="290"/>
      <c r="C22" s="290"/>
      <c r="D22" s="290" t="s">
        <v>257</v>
      </c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</row>
    <row r="23" spans="1:25" ht="18">
      <c r="A23" s="289"/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</row>
    <row r="24" spans="1:25" ht="18">
      <c r="A24" s="289">
        <v>4</v>
      </c>
      <c r="B24" s="290" t="s">
        <v>245</v>
      </c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</row>
    <row r="25" spans="1:25" ht="18">
      <c r="A25" s="289"/>
      <c r="B25" s="290" t="s">
        <v>60</v>
      </c>
      <c r="C25" s="290" t="s">
        <v>232</v>
      </c>
      <c r="D25" s="290" t="s">
        <v>258</v>
      </c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</row>
    <row r="26" spans="1:25" ht="18">
      <c r="A26" s="289"/>
      <c r="B26" s="290"/>
      <c r="C26" s="290"/>
      <c r="D26" s="290" t="s">
        <v>259</v>
      </c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</row>
    <row r="27" spans="1:25" ht="18">
      <c r="A27" s="289"/>
      <c r="B27" s="290"/>
      <c r="C27" s="290" t="s">
        <v>234</v>
      </c>
      <c r="D27" s="290" t="s">
        <v>246</v>
      </c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</row>
    <row r="28" spans="1:25" ht="18">
      <c r="A28" s="289"/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</row>
    <row r="29" spans="1:25" ht="18">
      <c r="A29" s="289"/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</row>
    <row r="30" spans="1:25" ht="18">
      <c r="A30" s="290"/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</row>
    <row r="31" spans="1:25" ht="18">
      <c r="A31" s="290"/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</row>
    <row r="32" spans="1:25" ht="18">
      <c r="A32" s="290"/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</row>
  </sheetData>
  <printOptions/>
  <pageMargins left="0.75" right="0.75" top="1" bottom="0.67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="75" zoomScaleNormal="75" workbookViewId="0" topLeftCell="A27">
      <selection activeCell="A1" sqref="A1:G48"/>
    </sheetView>
  </sheetViews>
  <sheetFormatPr defaultColWidth="9.140625" defaultRowHeight="12.75"/>
  <cols>
    <col min="1" max="1" width="10.421875" style="78" customWidth="1"/>
    <col min="2" max="2" width="26.7109375" style="78" customWidth="1"/>
    <col min="3" max="3" width="14.28125" style="78" customWidth="1"/>
    <col min="4" max="5" width="13.8515625" style="78" customWidth="1"/>
    <col min="6" max="6" width="15.140625" style="78" customWidth="1"/>
    <col min="7" max="7" width="13.28125" style="78" customWidth="1"/>
    <col min="8" max="16384" width="8.421875" style="78" customWidth="1"/>
  </cols>
  <sheetData>
    <row r="1" spans="2:7" ht="18">
      <c r="B1" s="50"/>
      <c r="C1" s="23" t="s">
        <v>65</v>
      </c>
      <c r="D1" s="23"/>
      <c r="E1" s="23"/>
      <c r="F1" s="23"/>
      <c r="G1" s="23"/>
    </row>
    <row r="2" spans="1:7" ht="18">
      <c r="A2" s="142"/>
      <c r="B2" s="50"/>
      <c r="C2" s="182" t="s">
        <v>66</v>
      </c>
      <c r="D2" s="187"/>
      <c r="E2" s="187"/>
      <c r="F2" s="187"/>
      <c r="G2" s="190"/>
    </row>
    <row r="3" spans="1:7" ht="18">
      <c r="A3" s="142"/>
      <c r="C3" s="183" t="s">
        <v>67</v>
      </c>
      <c r="D3" s="50"/>
      <c r="E3" s="50"/>
      <c r="F3" s="50"/>
      <c r="G3" s="191"/>
    </row>
    <row r="4" spans="2:7" ht="18">
      <c r="B4" s="159" t="s">
        <v>68</v>
      </c>
      <c r="C4" s="150">
        <v>1</v>
      </c>
      <c r="D4" s="150">
        <v>2</v>
      </c>
      <c r="E4" s="150">
        <v>3</v>
      </c>
      <c r="F4" s="150">
        <v>4</v>
      </c>
      <c r="G4" s="150">
        <v>5</v>
      </c>
    </row>
    <row r="5" spans="1:7" ht="18">
      <c r="A5" s="237" t="s">
        <v>22</v>
      </c>
      <c r="B5" s="239" t="s">
        <v>69</v>
      </c>
      <c r="C5" s="241">
        <f>Summary!D$8</f>
        <v>13233.050847457625</v>
      </c>
      <c r="D5" s="241">
        <f>Summary!E$8</f>
        <v>37500</v>
      </c>
      <c r="E5" s="241">
        <f>Summary!F$8</f>
        <v>75000</v>
      </c>
      <c r="F5" s="241">
        <f>Summary!G$8</f>
        <v>150000</v>
      </c>
      <c r="G5" s="241">
        <f>Summary!H$8</f>
        <v>300000</v>
      </c>
    </row>
    <row r="6" spans="1:7" ht="18">
      <c r="A6" s="151">
        <v>1</v>
      </c>
      <c r="B6" s="160" t="s">
        <v>25</v>
      </c>
      <c r="C6" s="184">
        <f>100*(SUM(Summary!D39:D42))/(1000000*Summary!D$11)</f>
        <v>0.1438319967549453</v>
      </c>
      <c r="D6" s="184">
        <f>100*(SUM(Summary!E39:E42))/(1000000*Summary!E$11)</f>
        <v>0.046538787745301104</v>
      </c>
      <c r="E6" s="184">
        <f>100*(SUM(Summary!F39:F42))/(1000000*Summary!F$11)</f>
        <v>0.02004631864204251</v>
      </c>
      <c r="F6" s="184">
        <f>100*(SUM(Summary!G39:G42))/(1000000*Summary!G$11)</f>
        <v>0.006800084090413205</v>
      </c>
      <c r="G6" s="192">
        <f>100*(SUM(Summary!H39:H42))/(1000000*Summary!H$11)</f>
        <v>0.00017696681459855693</v>
      </c>
    </row>
    <row r="7" spans="1:7" ht="18">
      <c r="A7" s="152">
        <v>2</v>
      </c>
      <c r="B7" s="161" t="s">
        <v>26</v>
      </c>
      <c r="C7" s="184">
        <f>100*(SUM(Summary!D44:D47))/(1000000*Summary!D$11)</f>
        <v>0.9114664182790804</v>
      </c>
      <c r="D7" s="184">
        <f>100*(SUM(Summary!E44:E47))/(1000000*Summary!E$11)</f>
        <v>0.3280937321318315</v>
      </c>
      <c r="E7" s="184">
        <f>100*(SUM(Summary!F44:F47))/(1000000*Summary!F$11)</f>
        <v>0.1822357987924578</v>
      </c>
      <c r="F7" s="184">
        <f>100*(SUM(Summary!G44:G47))/(1000000*Summary!G$11)</f>
        <v>0.09921321243801137</v>
      </c>
      <c r="G7" s="192">
        <f>100*(SUM(Summary!H44:H47))/(1000000*Summary!H$11)</f>
        <v>0.0577019192607882</v>
      </c>
    </row>
    <row r="8" spans="1:7" ht="18">
      <c r="A8" s="152">
        <v>3</v>
      </c>
      <c r="B8" s="161" t="s">
        <v>27</v>
      </c>
      <c r="C8" s="184">
        <f>100*(SUM(Summary!D49:D52))/(1000000*Summary!D$11)</f>
        <v>0.1374173949173941</v>
      </c>
      <c r="D8" s="184">
        <f>100*(SUM(Summary!E49:E52))/(1000000*Summary!E$11)</f>
        <v>0.04708913989024417</v>
      </c>
      <c r="E8" s="184">
        <f>100*(SUM(Summary!F49:F52))/(1000000*Summary!F$11)</f>
        <v>0.026285339834149143</v>
      </c>
      <c r="F8" s="184">
        <f>100*(SUM(Summary!G49:G52))/(1000000*Summary!G$11)</f>
        <v>0.012482517466305031</v>
      </c>
      <c r="G8" s="192">
        <f>100*(SUM(Summary!H49:H52))/(1000000*Summary!H$11)</f>
        <v>0.004657573176914713</v>
      </c>
    </row>
    <row r="9" spans="1:7" ht="18">
      <c r="A9" s="152">
        <v>4</v>
      </c>
      <c r="B9" s="161" t="s">
        <v>28</v>
      </c>
      <c r="C9" s="184">
        <f>100*(SUM(Summary!D54:D57))/(1000000*Summary!D$11)</f>
        <v>0.06730167614678065</v>
      </c>
      <c r="D9" s="184">
        <f>100*(SUM(Summary!E54:E57))/(1000000*Summary!E$11)</f>
        <v>0.024467114662309834</v>
      </c>
      <c r="E9" s="184">
        <f>100*(SUM(Summary!F54:F57))/(1000000*Summary!F$11)</f>
        <v>0.014065214634262324</v>
      </c>
      <c r="F9" s="184">
        <f>100*(SUM(Summary!G54:G57))/(1000000*Summary!G$11)</f>
        <v>0.007883974464072702</v>
      </c>
      <c r="G9" s="192">
        <f>100*(SUM(Summary!H54:H57))/(1000000*Summary!H$11)</f>
        <v>0.004793354378977896</v>
      </c>
    </row>
    <row r="10" spans="1:7" ht="18">
      <c r="A10" s="152">
        <v>5</v>
      </c>
      <c r="B10" s="161" t="s">
        <v>29</v>
      </c>
      <c r="C10" s="184">
        <f>100*(SUM(Summary!D59:D62))/(1000000*Summary!D$11)</f>
        <v>0.06253152480548073</v>
      </c>
      <c r="D10" s="184">
        <f>100*(SUM(Summary!E59:E62))/(1000000*Summary!E$11)</f>
        <v>0.01969696332100992</v>
      </c>
      <c r="E10" s="184">
        <f>100*(SUM(Summary!F59:F62))/(1000000*Summary!F$11)</f>
        <v>0.009295063292962416</v>
      </c>
      <c r="F10" s="184">
        <f>100*(SUM(Summary!G59:G62))/(1000000*Summary!G$11)</f>
        <v>0.0031138231227727927</v>
      </c>
      <c r="G10" s="192">
        <f>100*(SUM(Summary!H59:H62))/(1000000*Summary!H$11)</f>
        <v>2.3203037677987386E-05</v>
      </c>
    </row>
    <row r="11" spans="1:7" ht="18">
      <c r="A11" s="152">
        <v>6</v>
      </c>
      <c r="B11" s="161" t="s">
        <v>30</v>
      </c>
      <c r="C11" s="184">
        <f>100*(SUM(Summary!D64:D67))/(1000000*Summary!D$11)</f>
        <v>0.37479155785032664</v>
      </c>
      <c r="D11" s="184">
        <f>100*(SUM(Summary!E64:E67))/(1000000*Summary!E$11)</f>
        <v>0.13462962493166877</v>
      </c>
      <c r="E11" s="184">
        <f>100*(SUM(Summary!F64:F67))/(1000000*Summary!F$11)</f>
        <v>0.07505254644790887</v>
      </c>
      <c r="F11" s="184">
        <f>100*(SUM(Summary!G64:G67))/(1000000*Summary!G$11)</f>
        <v>0.039267910562790394</v>
      </c>
      <c r="G11" s="192">
        <f>100*(SUM(Summary!H64:H67))/(1000000*Summary!H$11)</f>
        <v>0.018377544298611857</v>
      </c>
    </row>
    <row r="12" spans="1:7" ht="18">
      <c r="A12" s="238" t="s">
        <v>70</v>
      </c>
      <c r="B12" s="240"/>
      <c r="C12" s="185">
        <f>SUM(C6:C11)</f>
        <v>1.6973405687540077</v>
      </c>
      <c r="D12" s="185">
        <f>SUM(D6:D11)</f>
        <v>0.6005153626823653</v>
      </c>
      <c r="E12" s="185">
        <f>SUM(E6:E11)</f>
        <v>0.32698028164378307</v>
      </c>
      <c r="F12" s="185">
        <f>SUM(F6:F11)</f>
        <v>0.1687615221443655</v>
      </c>
      <c r="G12" s="185">
        <f>SUM(G6:G11)</f>
        <v>0.0857305609675692</v>
      </c>
    </row>
    <row r="13" ht="18">
      <c r="A13" s="142"/>
    </row>
  </sheetData>
  <printOptions/>
  <pageMargins left="0.75" right="0.75" top="1" bottom="1" header="0.5" footer="0.5"/>
  <pageSetup fitToHeight="1" fitToWidth="1" horizontalDpi="600" verticalDpi="600" orientation="portrait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="90" zoomScaleNormal="90" workbookViewId="0" topLeftCell="A30">
      <selection activeCell="A1" sqref="A1:D44"/>
    </sheetView>
  </sheetViews>
  <sheetFormatPr defaultColWidth="9.140625" defaultRowHeight="12.75"/>
  <cols>
    <col min="1" max="1" width="10.421875" style="78" customWidth="1"/>
    <col min="2" max="2" width="47.8515625" style="78" customWidth="1"/>
    <col min="3" max="3" width="23.7109375" style="79" customWidth="1"/>
    <col min="4" max="4" width="15.421875" style="78" customWidth="1"/>
    <col min="5" max="16384" width="8.421875" style="78" customWidth="1"/>
  </cols>
  <sheetData>
    <row r="1" spans="1:4" ht="18">
      <c r="A1" s="123" t="s">
        <v>71</v>
      </c>
      <c r="B1" s="130"/>
      <c r="C1" s="135"/>
      <c r="D1" s="123"/>
    </row>
    <row r="2" spans="1:4" ht="18">
      <c r="A2" s="124" t="s">
        <v>22</v>
      </c>
      <c r="B2" s="131" t="s">
        <v>23</v>
      </c>
      <c r="C2" s="124" t="s">
        <v>72</v>
      </c>
      <c r="D2" s="139" t="s">
        <v>73</v>
      </c>
    </row>
    <row r="3" spans="1:4" ht="18">
      <c r="A3" s="125">
        <v>1</v>
      </c>
      <c r="B3" s="132" t="s">
        <v>25</v>
      </c>
      <c r="C3" s="136">
        <f>SUM(Summary!D39:H42)/1000000</f>
        <v>1.8156141715061822</v>
      </c>
      <c r="D3" s="140">
        <f>C3*100*1000000/(Summary!$G$17)</f>
        <v>0.013467224494685823</v>
      </c>
    </row>
    <row r="4" spans="1:4" ht="18">
      <c r="A4" s="126">
        <v>2</v>
      </c>
      <c r="B4" s="133" t="s">
        <v>26</v>
      </c>
      <c r="C4" s="136">
        <f>SUM(Summary!D44:H47)/1000000</f>
        <v>18.825721713670763</v>
      </c>
      <c r="D4" s="140">
        <f>C4*100*1000000/(Summary!$G$17)</f>
        <v>0.13963882005953068</v>
      </c>
    </row>
    <row r="5" spans="1:4" ht="18">
      <c r="A5" s="126">
        <v>3</v>
      </c>
      <c r="B5" s="133" t="s">
        <v>74</v>
      </c>
      <c r="C5" s="136">
        <f>SUM(Summary!D49:H52)/1000000</f>
        <v>2.5400064230266493</v>
      </c>
      <c r="D5" s="140">
        <f>C5*100*1000000/(Summary!$G$17)</f>
        <v>0.018840366666926147</v>
      </c>
    </row>
    <row r="6" spans="1:4" ht="18">
      <c r="A6" s="126">
        <v>4</v>
      </c>
      <c r="B6" s="133" t="s">
        <v>75</v>
      </c>
      <c r="C6" s="136">
        <f>SUM(Summary!D54:H57)/1000000</f>
        <v>1.4645066877917745</v>
      </c>
      <c r="D6" s="140">
        <f>C6*100*1000000/(Summary!$G$17)</f>
        <v>0.010862902839152812</v>
      </c>
    </row>
    <row r="7" spans="1:4" ht="18">
      <c r="A7" s="126">
        <v>5</v>
      </c>
      <c r="B7" s="133" t="s">
        <v>76</v>
      </c>
      <c r="C7" s="136">
        <f>SUM(Summary!D59:H62)/1000000</f>
        <v>0.8214114496965367</v>
      </c>
      <c r="D7" s="140">
        <f>C7*100*1000000/(Summary!$G$17)</f>
        <v>0.006092777071899454</v>
      </c>
    </row>
    <row r="8" spans="1:4" ht="18">
      <c r="A8" s="126">
        <v>6</v>
      </c>
      <c r="B8" s="133" t="s">
        <v>77</v>
      </c>
      <c r="C8" s="136">
        <f>SUM(Summary!D64:H67)/1000000</f>
        <v>7.55596408859806</v>
      </c>
      <c r="D8" s="140">
        <f>C8*100*1000000/(Summary!$G$17)</f>
        <v>0.05604597400257059</v>
      </c>
    </row>
    <row r="9" spans="1:4" ht="18">
      <c r="A9" s="127"/>
      <c r="B9" s="134" t="s">
        <v>78</v>
      </c>
      <c r="C9" s="137">
        <f>SUM(C3:C8)</f>
        <v>33.023224534289966</v>
      </c>
      <c r="D9" s="141">
        <f>SUM(D3:D8)</f>
        <v>0.2449480651347655</v>
      </c>
    </row>
    <row r="10" spans="1:4" ht="18">
      <c r="A10" s="128"/>
      <c r="B10" s="129"/>
      <c r="C10" s="138"/>
      <c r="D10" s="129"/>
    </row>
    <row r="11" spans="1:4" ht="18">
      <c r="A11" s="129"/>
      <c r="B11" s="129"/>
      <c r="C11" s="138"/>
      <c r="D11" s="129"/>
    </row>
    <row r="12" spans="1:4" ht="18">
      <c r="A12" s="129"/>
      <c r="B12" s="129"/>
      <c r="C12" s="138"/>
      <c r="D12" s="129"/>
    </row>
    <row r="13" spans="1:4" ht="18">
      <c r="A13" s="129"/>
      <c r="B13" s="129"/>
      <c r="C13" s="138"/>
      <c r="D13" s="129"/>
    </row>
    <row r="14" spans="1:4" ht="18">
      <c r="A14" s="129"/>
      <c r="B14" s="129"/>
      <c r="C14" s="138"/>
      <c r="D14" s="129"/>
    </row>
    <row r="15" spans="1:4" ht="18">
      <c r="A15" s="129"/>
      <c r="B15" s="129"/>
      <c r="C15" s="138"/>
      <c r="D15" s="129"/>
    </row>
    <row r="16" spans="1:4" ht="18">
      <c r="A16" s="129"/>
      <c r="B16" s="129"/>
      <c r="C16" s="138"/>
      <c r="D16" s="129"/>
    </row>
    <row r="17" spans="1:4" ht="18">
      <c r="A17" s="129"/>
      <c r="B17" s="129"/>
      <c r="C17" s="138"/>
      <c r="D17" s="129"/>
    </row>
    <row r="18" spans="1:4" ht="18">
      <c r="A18" s="129"/>
      <c r="B18" s="129"/>
      <c r="C18" s="138"/>
      <c r="D18" s="129"/>
    </row>
    <row r="19" spans="1:4" ht="18">
      <c r="A19" s="129"/>
      <c r="B19" s="129"/>
      <c r="C19" s="138"/>
      <c r="D19" s="129"/>
    </row>
    <row r="20" spans="1:4" ht="18">
      <c r="A20" s="129"/>
      <c r="B20" s="129"/>
      <c r="C20" s="138"/>
      <c r="D20" s="129"/>
    </row>
    <row r="21" spans="1:4" ht="18">
      <c r="A21" s="129"/>
      <c r="B21" s="129"/>
      <c r="C21" s="138"/>
      <c r="D21" s="129"/>
    </row>
    <row r="22" spans="1:4" ht="18">
      <c r="A22" s="129"/>
      <c r="B22" s="129"/>
      <c r="C22" s="138"/>
      <c r="D22" s="129"/>
    </row>
    <row r="23" spans="1:4" ht="18">
      <c r="A23" s="129"/>
      <c r="B23" s="129"/>
      <c r="C23" s="138"/>
      <c r="D23" s="129"/>
    </row>
    <row r="24" spans="1:4" ht="18">
      <c r="A24" s="129"/>
      <c r="B24" s="129"/>
      <c r="C24" s="138"/>
      <c r="D24" s="129"/>
    </row>
    <row r="25" spans="1:4" ht="18">
      <c r="A25" s="129"/>
      <c r="B25" s="129"/>
      <c r="C25" s="138"/>
      <c r="D25" s="129"/>
    </row>
    <row r="26" spans="1:4" ht="18">
      <c r="A26" s="129"/>
      <c r="B26" s="129"/>
      <c r="C26" s="138"/>
      <c r="D26" s="129"/>
    </row>
    <row r="27" spans="1:4" ht="18">
      <c r="A27" s="129"/>
      <c r="B27" s="129"/>
      <c r="C27" s="138"/>
      <c r="D27" s="129"/>
    </row>
    <row r="28" spans="1:4" ht="18">
      <c r="A28" s="129"/>
      <c r="B28" s="129"/>
      <c r="C28" s="138"/>
      <c r="D28" s="129"/>
    </row>
    <row r="29" spans="1:4" ht="18">
      <c r="A29" s="129"/>
      <c r="B29" s="129"/>
      <c r="C29" s="138"/>
      <c r="D29" s="129"/>
    </row>
    <row r="30" spans="1:4" ht="18">
      <c r="A30" s="129"/>
      <c r="B30" s="129"/>
      <c r="C30" s="138"/>
      <c r="D30" s="129"/>
    </row>
    <row r="31" spans="1:4" ht="18">
      <c r="A31" s="129"/>
      <c r="B31" s="129"/>
      <c r="C31" s="138"/>
      <c r="D31" s="129"/>
    </row>
    <row r="32" spans="1:4" ht="18">
      <c r="A32" s="129"/>
      <c r="B32" s="129"/>
      <c r="C32" s="138"/>
      <c r="D32" s="129"/>
    </row>
    <row r="33" spans="1:4" ht="18">
      <c r="A33" s="129"/>
      <c r="B33" s="129"/>
      <c r="C33" s="138"/>
      <c r="D33" s="129"/>
    </row>
    <row r="34" spans="1:4" ht="18">
      <c r="A34" s="129"/>
      <c r="B34" s="129"/>
      <c r="C34" s="138"/>
      <c r="D34" s="129"/>
    </row>
    <row r="35" spans="1:4" ht="18">
      <c r="A35" s="129"/>
      <c r="B35" s="129"/>
      <c r="C35" s="138"/>
      <c r="D35" s="129"/>
    </row>
    <row r="36" spans="1:4" ht="18">
      <c r="A36" s="129"/>
      <c r="B36" s="129"/>
      <c r="C36" s="138"/>
      <c r="D36" s="129"/>
    </row>
    <row r="37" spans="1:4" ht="18">
      <c r="A37" s="129"/>
      <c r="B37" s="129"/>
      <c r="C37" s="138"/>
      <c r="D37" s="129"/>
    </row>
    <row r="38" spans="1:4" ht="18">
      <c r="A38" s="129"/>
      <c r="B38" s="129"/>
      <c r="C38" s="138"/>
      <c r="D38" s="129"/>
    </row>
    <row r="39" spans="1:4" ht="18">
      <c r="A39" s="129"/>
      <c r="B39" s="129"/>
      <c r="C39" s="138"/>
      <c r="D39" s="129"/>
    </row>
    <row r="40" spans="1:4" ht="18">
      <c r="A40" s="129"/>
      <c r="B40" s="129"/>
      <c r="C40" s="138"/>
      <c r="D40" s="129"/>
    </row>
    <row r="41" spans="1:4" ht="18">
      <c r="A41" s="129"/>
      <c r="B41" s="129"/>
      <c r="C41" s="138"/>
      <c r="D41" s="129"/>
    </row>
  </sheetData>
  <printOptions/>
  <pageMargins left="0.75" right="0.75" top="1" bottom="1" header="0.5" footer="0.5"/>
  <pageSetup fitToHeight="1" fitToWidth="1" horizontalDpi="600" verticalDpi="600" orientation="portrait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10"/>
  <sheetViews>
    <sheetView workbookViewId="0" topLeftCell="E102">
      <selection activeCell="A90" sqref="A90:I110"/>
    </sheetView>
  </sheetViews>
  <sheetFormatPr defaultColWidth="9.140625" defaultRowHeight="12.75"/>
  <cols>
    <col min="1" max="1" width="9.8515625" style="97" customWidth="1"/>
    <col min="2" max="2" width="42.7109375" style="98" customWidth="1"/>
    <col min="3" max="3" width="10.7109375" style="99" customWidth="1"/>
    <col min="4" max="4" width="9.8515625" style="100" customWidth="1"/>
    <col min="5" max="5" width="12.28125" style="98" customWidth="1"/>
    <col min="6" max="6" width="13.00390625" style="98" customWidth="1"/>
    <col min="7" max="7" width="12.28125" style="98" customWidth="1"/>
    <col min="8" max="8" width="12.140625" style="98" customWidth="1"/>
    <col min="9" max="9" width="12.8515625" style="98" customWidth="1"/>
    <col min="10" max="16384" width="9.8515625" style="97" customWidth="1"/>
  </cols>
  <sheetData>
    <row r="2" spans="1:9" ht="18">
      <c r="A2" s="94" t="s">
        <v>79</v>
      </c>
      <c r="B2" s="94"/>
      <c r="C2" s="94"/>
      <c r="D2" s="95"/>
      <c r="E2" s="96"/>
      <c r="F2" s="96"/>
      <c r="G2" s="96"/>
      <c r="H2" s="96"/>
      <c r="I2" s="96"/>
    </row>
    <row r="4" spans="3:9" ht="18">
      <c r="C4" s="99" t="s">
        <v>80</v>
      </c>
      <c r="E4" s="101" t="s">
        <v>81</v>
      </c>
      <c r="F4" s="101"/>
      <c r="G4" s="101"/>
      <c r="H4" s="101"/>
      <c r="I4" s="101"/>
    </row>
    <row r="5" spans="1:9" ht="18">
      <c r="A5" s="102" t="s">
        <v>82</v>
      </c>
      <c r="B5" s="103"/>
      <c r="C5" s="104" t="s">
        <v>83</v>
      </c>
      <c r="E5" s="103" t="s">
        <v>84</v>
      </c>
      <c r="F5" s="103" t="s">
        <v>85</v>
      </c>
      <c r="G5" s="103" t="s">
        <v>86</v>
      </c>
      <c r="H5" s="103" t="s">
        <v>87</v>
      </c>
      <c r="I5" s="103" t="s">
        <v>88</v>
      </c>
    </row>
    <row r="6" ht="18.75">
      <c r="A6" s="105" t="s">
        <v>89</v>
      </c>
    </row>
    <row r="7" spans="1:9" ht="18">
      <c r="A7" s="106" t="s">
        <v>90</v>
      </c>
      <c r="B7" s="107"/>
      <c r="C7" s="108"/>
      <c r="D7" s="109"/>
      <c r="E7" s="107"/>
      <c r="F7" s="107"/>
      <c r="G7" s="107"/>
      <c r="H7" s="107"/>
      <c r="I7" s="110"/>
    </row>
    <row r="8" spans="1:9" ht="18">
      <c r="A8" s="111" t="s">
        <v>91</v>
      </c>
      <c r="C8" s="112">
        <v>65</v>
      </c>
      <c r="E8" s="98">
        <f>Summary!$D$13</f>
        <v>2.5</v>
      </c>
      <c r="F8" s="98">
        <f>$E$8</f>
        <v>2.5</v>
      </c>
      <c r="G8" s="98">
        <f>F8</f>
        <v>2.5</v>
      </c>
      <c r="H8" s="98">
        <f>G8</f>
        <v>2.5</v>
      </c>
      <c r="I8" s="113">
        <f>$E$8</f>
        <v>2.5</v>
      </c>
    </row>
    <row r="9" spans="1:9" ht="18">
      <c r="A9" s="111" t="s">
        <v>92</v>
      </c>
      <c r="C9" s="112">
        <v>351</v>
      </c>
      <c r="E9" s="98">
        <f>$E$8</f>
        <v>2.5</v>
      </c>
      <c r="F9" s="98">
        <f>$E$8</f>
        <v>2.5</v>
      </c>
      <c r="G9" s="98">
        <f aca="true" t="shared" si="0" ref="G9:H11">$E$8</f>
        <v>2.5</v>
      </c>
      <c r="H9" s="98">
        <f t="shared" si="0"/>
        <v>2.5</v>
      </c>
      <c r="I9" s="113">
        <f>$E$8</f>
        <v>2.5</v>
      </c>
    </row>
    <row r="10" spans="1:9" ht="18">
      <c r="A10" s="111" t="s">
        <v>93</v>
      </c>
      <c r="C10" s="112">
        <f>134+44</f>
        <v>178</v>
      </c>
      <c r="E10" s="98">
        <f>$E$8</f>
        <v>2.5</v>
      </c>
      <c r="F10" s="98">
        <f>$E$8</f>
        <v>2.5</v>
      </c>
      <c r="G10" s="98">
        <f t="shared" si="0"/>
        <v>2.5</v>
      </c>
      <c r="H10" s="98">
        <f t="shared" si="0"/>
        <v>2.5</v>
      </c>
      <c r="I10" s="113">
        <f>$E$8</f>
        <v>2.5</v>
      </c>
    </row>
    <row r="11" spans="1:9" ht="18">
      <c r="A11" s="114" t="s">
        <v>94</v>
      </c>
      <c r="C11" s="115">
        <v>55</v>
      </c>
      <c r="E11" s="98">
        <f>$E$8</f>
        <v>2.5</v>
      </c>
      <c r="F11" s="98">
        <f>$E$8</f>
        <v>2.5</v>
      </c>
      <c r="G11" s="98">
        <f t="shared" si="0"/>
        <v>2.5</v>
      </c>
      <c r="H11" s="98">
        <f t="shared" si="0"/>
        <v>2.5</v>
      </c>
      <c r="I11" s="113">
        <f>$E$8</f>
        <v>2.5</v>
      </c>
    </row>
    <row r="12" spans="1:9" ht="18">
      <c r="A12" s="114" t="s">
        <v>95</v>
      </c>
      <c r="C12" s="115"/>
      <c r="I12" s="113"/>
    </row>
    <row r="13" spans="1:9" ht="18">
      <c r="A13" s="111" t="s">
        <v>96</v>
      </c>
      <c r="C13" s="115">
        <f>(1*80)</f>
        <v>80</v>
      </c>
      <c r="E13" s="98">
        <f aca="true" t="shared" si="1" ref="E13:I16">$E$8</f>
        <v>2.5</v>
      </c>
      <c r="F13" s="98">
        <f t="shared" si="1"/>
        <v>2.5</v>
      </c>
      <c r="G13" s="98">
        <f t="shared" si="1"/>
        <v>2.5</v>
      </c>
      <c r="H13" s="98">
        <f t="shared" si="1"/>
        <v>2.5</v>
      </c>
      <c r="I13" s="113">
        <f t="shared" si="1"/>
        <v>2.5</v>
      </c>
    </row>
    <row r="14" spans="1:9" ht="18">
      <c r="A14" s="111" t="s">
        <v>92</v>
      </c>
      <c r="C14" s="115">
        <f>(2*80)</f>
        <v>160</v>
      </c>
      <c r="E14" s="98">
        <f t="shared" si="1"/>
        <v>2.5</v>
      </c>
      <c r="F14" s="98">
        <f t="shared" si="1"/>
        <v>2.5</v>
      </c>
      <c r="G14" s="98">
        <f t="shared" si="1"/>
        <v>2.5</v>
      </c>
      <c r="H14" s="98">
        <f t="shared" si="1"/>
        <v>2.5</v>
      </c>
      <c r="I14" s="113">
        <f t="shared" si="1"/>
        <v>2.5</v>
      </c>
    </row>
    <row r="15" spans="1:9" ht="18">
      <c r="A15" s="111" t="s">
        <v>93</v>
      </c>
      <c r="C15" s="115">
        <f>(2*80)</f>
        <v>160</v>
      </c>
      <c r="E15" s="98">
        <f t="shared" si="1"/>
        <v>2.5</v>
      </c>
      <c r="F15" s="98">
        <f t="shared" si="1"/>
        <v>2.5</v>
      </c>
      <c r="G15" s="98">
        <f t="shared" si="1"/>
        <v>2.5</v>
      </c>
      <c r="H15" s="98">
        <f t="shared" si="1"/>
        <v>2.5</v>
      </c>
      <c r="I15" s="113">
        <f t="shared" si="1"/>
        <v>2.5</v>
      </c>
    </row>
    <row r="16" spans="1:9" ht="18">
      <c r="A16" s="116" t="s">
        <v>94</v>
      </c>
      <c r="B16" s="117"/>
      <c r="C16" s="118">
        <f>(1*80)</f>
        <v>80</v>
      </c>
      <c r="D16" s="119"/>
      <c r="E16" s="98">
        <f t="shared" si="1"/>
        <v>2.5</v>
      </c>
      <c r="F16" s="98">
        <f t="shared" si="1"/>
        <v>2.5</v>
      </c>
      <c r="G16" s="98">
        <f t="shared" si="1"/>
        <v>2.5</v>
      </c>
      <c r="H16" s="98">
        <f t="shared" si="1"/>
        <v>2.5</v>
      </c>
      <c r="I16" s="113">
        <f t="shared" si="1"/>
        <v>2.5</v>
      </c>
    </row>
    <row r="17" spans="1:9" ht="18">
      <c r="A17" s="116"/>
      <c r="B17" s="80"/>
      <c r="C17" s="118"/>
      <c r="D17" s="81"/>
      <c r="E17" s="80"/>
      <c r="F17" s="80"/>
      <c r="G17" s="80"/>
      <c r="H17" s="80"/>
      <c r="I17" s="82"/>
    </row>
    <row r="18" spans="1:9" ht="18">
      <c r="A18" s="83" t="s">
        <v>97</v>
      </c>
      <c r="B18" s="97"/>
      <c r="C18" s="97"/>
      <c r="D18" s="97"/>
      <c r="E18" s="84">
        <v>2822.5</v>
      </c>
      <c r="F18" s="85">
        <v>2822.5</v>
      </c>
      <c r="G18" s="85">
        <v>2822.5</v>
      </c>
      <c r="H18" s="85">
        <v>2822.5</v>
      </c>
      <c r="I18" s="85">
        <v>2822.5</v>
      </c>
    </row>
    <row r="19" spans="1:9" ht="18">
      <c r="A19" s="86" t="s">
        <v>98</v>
      </c>
      <c r="B19" s="87"/>
      <c r="C19" s="87"/>
      <c r="D19" s="87"/>
      <c r="E19" s="84">
        <f>E18*$C$108</f>
        <v>579.757022904931</v>
      </c>
      <c r="F19" s="85">
        <f>F18*$C$108</f>
        <v>579.757022904931</v>
      </c>
      <c r="G19" s="85">
        <f>G18*$C$108</f>
        <v>579.757022904931</v>
      </c>
      <c r="H19" s="85">
        <f>H18*$C$108</f>
        <v>579.757022904931</v>
      </c>
      <c r="I19" s="85">
        <f>I18*$C$108</f>
        <v>579.757022904931</v>
      </c>
    </row>
    <row r="20" spans="1:9" ht="18">
      <c r="A20" s="100"/>
      <c r="C20" s="88"/>
      <c r="E20" s="89" t="s">
        <v>99</v>
      </c>
      <c r="F20" s="90">
        <f>AVERAGE(E18:I18)</f>
        <v>2822.5</v>
      </c>
      <c r="G20" s="91" t="s">
        <v>100</v>
      </c>
      <c r="H20" s="92"/>
      <c r="I20" s="62">
        <f>AVERAGE(E19:I19)</f>
        <v>579.757022904931</v>
      </c>
    </row>
    <row r="21" spans="1:3" ht="18.75">
      <c r="A21" s="105" t="s">
        <v>101</v>
      </c>
      <c r="C21" s="112"/>
    </row>
    <row r="22" spans="1:9" ht="18">
      <c r="A22" s="63" t="s">
        <v>102</v>
      </c>
      <c r="B22" s="107"/>
      <c r="C22" s="64"/>
      <c r="D22" s="109"/>
      <c r="E22" s="107"/>
      <c r="F22" s="107"/>
      <c r="G22" s="107"/>
      <c r="H22" s="107"/>
      <c r="I22" s="110"/>
    </row>
    <row r="23" spans="1:9" ht="18">
      <c r="A23" s="114" t="s">
        <v>103</v>
      </c>
      <c r="C23" s="115">
        <v>200</v>
      </c>
      <c r="E23" s="65">
        <f>Summary!$D$14</f>
        <v>2.5</v>
      </c>
      <c r="F23" s="66">
        <f>$E$23</f>
        <v>2.5</v>
      </c>
      <c r="G23" s="66"/>
      <c r="H23" s="66"/>
      <c r="I23" s="67"/>
    </row>
    <row r="24" spans="1:9" ht="18">
      <c r="A24" s="114" t="s">
        <v>104</v>
      </c>
      <c r="C24" s="115">
        <v>231.25</v>
      </c>
      <c r="E24" s="66"/>
      <c r="F24" s="66"/>
      <c r="G24" s="66">
        <f>$E$23</f>
        <v>2.5</v>
      </c>
      <c r="H24" s="66"/>
      <c r="I24" s="67"/>
    </row>
    <row r="25" spans="1:9" ht="18">
      <c r="A25" s="114" t="s">
        <v>105</v>
      </c>
      <c r="C25" s="115">
        <v>208.83</v>
      </c>
      <c r="E25" s="66"/>
      <c r="F25" s="66"/>
      <c r="G25" s="66"/>
      <c r="H25" s="66">
        <f>$E$23</f>
        <v>2.5</v>
      </c>
      <c r="I25" s="67"/>
    </row>
    <row r="26" spans="1:9" ht="18">
      <c r="A26" s="114" t="s">
        <v>106</v>
      </c>
      <c r="C26" s="115">
        <v>224.78</v>
      </c>
      <c r="E26" s="66"/>
      <c r="F26" s="66"/>
      <c r="G26" s="66"/>
      <c r="H26" s="66"/>
      <c r="I26" s="67">
        <f>$E$23</f>
        <v>2.5</v>
      </c>
    </row>
    <row r="27" spans="1:9" ht="18">
      <c r="A27" s="114" t="s">
        <v>107</v>
      </c>
      <c r="C27" s="115">
        <v>381.82</v>
      </c>
      <c r="E27" s="66">
        <f>E$23</f>
        <v>2.5</v>
      </c>
      <c r="F27" s="66">
        <f>F$23</f>
        <v>2.5</v>
      </c>
      <c r="G27" s="66"/>
      <c r="H27" s="66"/>
      <c r="I27" s="67"/>
    </row>
    <row r="28" spans="1:9" ht="18">
      <c r="A28" s="114" t="s">
        <v>108</v>
      </c>
      <c r="C28" s="115">
        <v>467.87</v>
      </c>
      <c r="E28" s="66"/>
      <c r="F28" s="66"/>
      <c r="G28" s="66">
        <f>G$24</f>
        <v>2.5</v>
      </c>
      <c r="H28" s="66"/>
      <c r="I28" s="67"/>
    </row>
    <row r="29" spans="1:9" ht="18">
      <c r="A29" s="114" t="s">
        <v>109</v>
      </c>
      <c r="C29" s="115">
        <v>400.11</v>
      </c>
      <c r="E29" s="66"/>
      <c r="F29" s="66"/>
      <c r="G29" s="66"/>
      <c r="H29" s="66">
        <f>H$25</f>
        <v>2.5</v>
      </c>
      <c r="I29" s="67"/>
    </row>
    <row r="30" spans="1:9" ht="18">
      <c r="A30" s="114" t="s">
        <v>110</v>
      </c>
      <c r="C30" s="115">
        <v>220.49</v>
      </c>
      <c r="E30" s="66"/>
      <c r="F30" s="66"/>
      <c r="G30" s="66"/>
      <c r="H30" s="66"/>
      <c r="I30" s="67">
        <f>I$26</f>
        <v>2.5</v>
      </c>
    </row>
    <row r="31" spans="1:9" ht="18">
      <c r="A31" s="114" t="s">
        <v>111</v>
      </c>
      <c r="C31" s="115"/>
      <c r="E31" s="66"/>
      <c r="F31" s="66"/>
      <c r="G31" s="66"/>
      <c r="H31" s="66"/>
      <c r="I31" s="67"/>
    </row>
    <row r="32" spans="1:9" ht="18">
      <c r="A32" s="114" t="s">
        <v>112</v>
      </c>
      <c r="C32" s="115">
        <v>7500</v>
      </c>
      <c r="E32" s="66"/>
      <c r="F32" s="66"/>
      <c r="G32" s="66"/>
      <c r="H32" s="66">
        <v>1</v>
      </c>
      <c r="I32" s="67"/>
    </row>
    <row r="33" spans="1:9" ht="18">
      <c r="A33" s="114" t="s">
        <v>113</v>
      </c>
      <c r="C33" s="115">
        <v>9000</v>
      </c>
      <c r="E33" s="66"/>
      <c r="F33" s="66"/>
      <c r="G33" s="66"/>
      <c r="H33" s="66"/>
      <c r="I33" s="67">
        <v>1</v>
      </c>
    </row>
    <row r="34" spans="1:9" ht="18">
      <c r="A34" s="111" t="s">
        <v>114</v>
      </c>
      <c r="C34" s="112"/>
      <c r="E34" s="66"/>
      <c r="F34" s="66"/>
      <c r="G34" s="66"/>
      <c r="H34" s="66"/>
      <c r="I34" s="67"/>
    </row>
    <row r="35" spans="1:9" ht="18">
      <c r="A35" s="111" t="s">
        <v>115</v>
      </c>
      <c r="C35" s="112">
        <v>7500</v>
      </c>
      <c r="E35" s="66">
        <v>1</v>
      </c>
      <c r="F35" s="66">
        <v>1</v>
      </c>
      <c r="G35" s="66">
        <v>1</v>
      </c>
      <c r="H35" s="66"/>
      <c r="I35" s="67"/>
    </row>
    <row r="36" spans="1:9" ht="18">
      <c r="A36" s="114" t="s">
        <v>95</v>
      </c>
      <c r="C36" s="112"/>
      <c r="E36" s="66"/>
      <c r="F36" s="66"/>
      <c r="G36" s="66"/>
      <c r="H36" s="66"/>
      <c r="I36" s="67"/>
    </row>
    <row r="37" spans="1:9" ht="18">
      <c r="A37" s="114" t="s">
        <v>103</v>
      </c>
      <c r="C37" s="112">
        <v>86.04</v>
      </c>
      <c r="E37" s="66">
        <f>E$23</f>
        <v>2.5</v>
      </c>
      <c r="F37" s="66">
        <f>F$23</f>
        <v>2.5</v>
      </c>
      <c r="G37" s="66"/>
      <c r="H37" s="66"/>
      <c r="I37" s="67"/>
    </row>
    <row r="38" spans="1:9" ht="18">
      <c r="A38" s="114" t="s">
        <v>104</v>
      </c>
      <c r="C38" s="112">
        <v>107.56</v>
      </c>
      <c r="E38" s="66"/>
      <c r="F38" s="66"/>
      <c r="G38" s="66">
        <f>G$24</f>
        <v>2.5</v>
      </c>
      <c r="H38" s="66"/>
      <c r="I38" s="67"/>
    </row>
    <row r="39" spans="1:9" ht="18">
      <c r="A39" s="114" t="s">
        <v>105</v>
      </c>
      <c r="C39" s="112">
        <v>48.4</v>
      </c>
      <c r="E39" s="66"/>
      <c r="F39" s="66"/>
      <c r="G39" s="66"/>
      <c r="H39" s="66">
        <f>H$25</f>
        <v>2.5</v>
      </c>
      <c r="I39" s="67"/>
    </row>
    <row r="40" spans="1:9" ht="18">
      <c r="A40" s="114" t="s">
        <v>106</v>
      </c>
      <c r="C40" s="112">
        <v>53.78</v>
      </c>
      <c r="E40" s="66"/>
      <c r="F40" s="66"/>
      <c r="G40" s="66"/>
      <c r="H40" s="66"/>
      <c r="I40" s="67">
        <f>I$26</f>
        <v>2.5</v>
      </c>
    </row>
    <row r="41" spans="1:9" ht="18">
      <c r="A41" s="114" t="s">
        <v>107</v>
      </c>
      <c r="B41" s="68"/>
      <c r="C41" s="115">
        <f>2*$C37</f>
        <v>172.08</v>
      </c>
      <c r="E41" s="66">
        <f>E$23</f>
        <v>2.5</v>
      </c>
      <c r="F41" s="66">
        <f>F$23</f>
        <v>2.5</v>
      </c>
      <c r="G41" s="66"/>
      <c r="H41" s="66"/>
      <c r="I41" s="67"/>
    </row>
    <row r="42" spans="1:9" ht="18">
      <c r="A42" s="114" t="s">
        <v>108</v>
      </c>
      <c r="B42" s="68"/>
      <c r="C42" s="115">
        <f>2*$C38</f>
        <v>215.12</v>
      </c>
      <c r="E42" s="66"/>
      <c r="F42" s="66"/>
      <c r="G42" s="66">
        <f>G$24</f>
        <v>2.5</v>
      </c>
      <c r="H42" s="66"/>
      <c r="I42" s="67"/>
    </row>
    <row r="43" spans="1:9" ht="18">
      <c r="A43" s="114" t="s">
        <v>109</v>
      </c>
      <c r="B43" s="68"/>
      <c r="C43" s="115">
        <f>2*$C39</f>
        <v>96.8</v>
      </c>
      <c r="E43" s="66"/>
      <c r="F43" s="66"/>
      <c r="G43" s="66"/>
      <c r="H43" s="66">
        <f>H$25</f>
        <v>2.5</v>
      </c>
      <c r="I43" s="67"/>
    </row>
    <row r="44" spans="1:9" ht="18">
      <c r="A44" s="114" t="s">
        <v>110</v>
      </c>
      <c r="B44" s="68"/>
      <c r="C44" s="115">
        <f>2*$C40</f>
        <v>107.56</v>
      </c>
      <c r="E44" s="66"/>
      <c r="F44" s="66"/>
      <c r="G44" s="66"/>
      <c r="H44" s="66"/>
      <c r="I44" s="67">
        <f>I$26</f>
        <v>2.5</v>
      </c>
    </row>
    <row r="45" spans="1:9" ht="18">
      <c r="A45" s="114" t="s">
        <v>116</v>
      </c>
      <c r="C45" s="112">
        <v>1505.78</v>
      </c>
      <c r="E45" s="66"/>
      <c r="F45" s="66"/>
      <c r="G45" s="66"/>
      <c r="H45" s="66">
        <v>1</v>
      </c>
      <c r="I45" s="67"/>
    </row>
    <row r="46" spans="1:9" ht="18">
      <c r="A46" s="114" t="s">
        <v>117</v>
      </c>
      <c r="C46" s="112">
        <v>1290.67</v>
      </c>
      <c r="E46" s="66"/>
      <c r="F46" s="66"/>
      <c r="G46" s="66"/>
      <c r="H46" s="66"/>
      <c r="I46" s="67">
        <v>1</v>
      </c>
    </row>
    <row r="47" spans="1:9" ht="18">
      <c r="A47" s="116" t="s">
        <v>118</v>
      </c>
      <c r="B47" s="117"/>
      <c r="C47" s="118">
        <v>1506</v>
      </c>
      <c r="D47" s="81"/>
      <c r="E47" s="69">
        <v>1</v>
      </c>
      <c r="F47" s="69">
        <v>1</v>
      </c>
      <c r="G47" s="69">
        <v>1</v>
      </c>
      <c r="H47" s="69"/>
      <c r="I47" s="70"/>
    </row>
    <row r="48" spans="1:9" ht="18">
      <c r="A48" s="114"/>
      <c r="B48" s="68"/>
      <c r="C48" s="115"/>
      <c r="E48" s="71"/>
      <c r="F48" s="71"/>
      <c r="G48" s="71"/>
      <c r="H48" s="71"/>
      <c r="I48" s="72"/>
    </row>
    <row r="49" spans="1:9" ht="18">
      <c r="A49" s="83" t="s">
        <v>119</v>
      </c>
      <c r="B49" s="68"/>
      <c r="C49" s="115"/>
      <c r="E49" s="84">
        <v>11105.85</v>
      </c>
      <c r="F49" s="85">
        <v>11105.85</v>
      </c>
      <c r="G49" s="85">
        <v>11560.5</v>
      </c>
      <c r="H49" s="85">
        <v>10891.13</v>
      </c>
      <c r="I49" s="85">
        <v>11807.195</v>
      </c>
    </row>
    <row r="50" spans="1:9" ht="18">
      <c r="A50" s="114" t="s">
        <v>120</v>
      </c>
      <c r="B50" s="68"/>
      <c r="C50" s="115"/>
      <c r="E50" s="115">
        <v>715.1</v>
      </c>
      <c r="F50" s="115">
        <v>715.1</v>
      </c>
      <c r="G50" s="115">
        <v>847.025</v>
      </c>
      <c r="H50" s="115">
        <v>643.075</v>
      </c>
      <c r="I50" s="73">
        <v>696.4</v>
      </c>
    </row>
    <row r="51" spans="1:9" ht="18">
      <c r="A51" s="114" t="s">
        <v>121</v>
      </c>
      <c r="B51" s="68"/>
      <c r="C51" s="115"/>
      <c r="E51" s="115">
        <v>1384.75</v>
      </c>
      <c r="F51" s="115">
        <v>1384.75</v>
      </c>
      <c r="G51" s="115">
        <v>1707.475</v>
      </c>
      <c r="H51" s="115">
        <v>1242.275</v>
      </c>
      <c r="I51" s="73">
        <v>820.125</v>
      </c>
    </row>
    <row r="52" spans="1:9" ht="18">
      <c r="A52" s="114" t="s">
        <v>122</v>
      </c>
      <c r="B52" s="68"/>
      <c r="C52" s="115"/>
      <c r="E52" s="74">
        <f>E49-E50-E51</f>
        <v>9006</v>
      </c>
      <c r="F52" s="74">
        <f>F49-F50-F51</f>
        <v>9006</v>
      </c>
      <c r="G52" s="74">
        <f>G49-G50-G51</f>
        <v>9005.999999999998</v>
      </c>
      <c r="H52" s="74">
        <f>H49-H50-H51</f>
        <v>9005.78</v>
      </c>
      <c r="I52" s="75">
        <f>I49-I50-I51</f>
        <v>10290.67</v>
      </c>
    </row>
    <row r="53" spans="1:9" ht="18">
      <c r="A53" s="114" t="s">
        <v>123</v>
      </c>
      <c r="B53" s="68"/>
      <c r="C53" s="115"/>
      <c r="E53" s="115">
        <f>E50*$C$109</f>
        <v>287.5522960725074</v>
      </c>
      <c r="F53" s="115">
        <f>F50*$C$109</f>
        <v>287.5522960725074</v>
      </c>
      <c r="G53" s="115">
        <f>G50*$C$109</f>
        <v>340.60129154078527</v>
      </c>
      <c r="H53" s="115">
        <f>H50*$C$109</f>
        <v>258.58997734138956</v>
      </c>
      <c r="I53" s="73">
        <f>I50*$C$109</f>
        <v>280.0327492447128</v>
      </c>
    </row>
    <row r="54" spans="1:9" ht="18">
      <c r="A54" s="114" t="s">
        <v>124</v>
      </c>
      <c r="B54" s="68"/>
      <c r="C54" s="115"/>
      <c r="E54" s="115">
        <f>E51*$C$108</f>
        <v>284.43526571039973</v>
      </c>
      <c r="F54" s="115">
        <f>F51*$C$108</f>
        <v>284.43526571039973</v>
      </c>
      <c r="G54" s="115">
        <f>G51*$C$108</f>
        <v>350.7247556012744</v>
      </c>
      <c r="H54" s="115">
        <f>H51*$C$108</f>
        <v>255.17011714055738</v>
      </c>
      <c r="I54" s="73">
        <f>I51*$C$108</f>
        <v>168.45818544195095</v>
      </c>
    </row>
    <row r="55" spans="1:9" ht="18">
      <c r="A55" s="114" t="s">
        <v>125</v>
      </c>
      <c r="B55" s="68"/>
      <c r="C55" s="115"/>
      <c r="E55" s="76">
        <f>E52*$C$107</f>
        <v>1465.6850263118988</v>
      </c>
      <c r="F55" s="77">
        <f>F52*$C$107</f>
        <v>1465.6850263118988</v>
      </c>
      <c r="G55" s="77">
        <f>G52*$C$107</f>
        <v>1465.6850263118986</v>
      </c>
      <c r="H55" s="77">
        <f>H52*$C$107</f>
        <v>1465.6492223250248</v>
      </c>
      <c r="I55" s="51">
        <f>I52*$C$107</f>
        <v>1674.7591527556149</v>
      </c>
    </row>
    <row r="56" spans="1:9" ht="18">
      <c r="A56" s="86" t="s">
        <v>126</v>
      </c>
      <c r="B56" s="52"/>
      <c r="C56" s="74"/>
      <c r="D56" s="53"/>
      <c r="E56" s="54">
        <f>SUM(E53:E55)</f>
        <v>2037.6725880948059</v>
      </c>
      <c r="F56" s="55">
        <f>SUM(F53:F55)</f>
        <v>2037.6725880948059</v>
      </c>
      <c r="G56" s="55">
        <f>SUM(G53:G55)</f>
        <v>2157.0110734539585</v>
      </c>
      <c r="H56" s="55">
        <f>SUM(H53:H55)</f>
        <v>1979.4093168069717</v>
      </c>
      <c r="I56" s="55">
        <f>SUM(I53:I55)</f>
        <v>2123.2500874422785</v>
      </c>
    </row>
    <row r="57" spans="1:9" ht="18">
      <c r="A57" s="100"/>
      <c r="B57" s="68"/>
      <c r="C57" s="88"/>
      <c r="E57" s="89" t="s">
        <v>99</v>
      </c>
      <c r="F57" s="90">
        <f>AVERAGE(E49:I49)</f>
        <v>11294.105</v>
      </c>
      <c r="G57" s="91" t="s">
        <v>100</v>
      </c>
      <c r="H57" s="92"/>
      <c r="I57" s="62">
        <f>AVERAGE(E56:I56)</f>
        <v>2067.003130778564</v>
      </c>
    </row>
    <row r="58" ht="18.75">
      <c r="A58" s="105" t="s">
        <v>127</v>
      </c>
    </row>
    <row r="59" spans="1:9" ht="18">
      <c r="A59" s="106" t="s">
        <v>128</v>
      </c>
      <c r="B59" s="107"/>
      <c r="C59" s="108"/>
      <c r="D59" s="109"/>
      <c r="E59" s="107"/>
      <c r="F59" s="107"/>
      <c r="G59" s="107"/>
      <c r="H59" s="107"/>
      <c r="I59" s="110"/>
    </row>
    <row r="60" spans="1:9" ht="18">
      <c r="A60" s="111" t="s">
        <v>129</v>
      </c>
      <c r="C60" s="115">
        <f>0.25*(0.5*(C25+C26))</f>
        <v>54.20125</v>
      </c>
      <c r="E60" s="56"/>
      <c r="F60" s="56"/>
      <c r="G60" s="56"/>
      <c r="H60" s="56">
        <f>$E$23</f>
        <v>2.5</v>
      </c>
      <c r="I60" s="57">
        <f>$E$23</f>
        <v>2.5</v>
      </c>
    </row>
    <row r="61" spans="1:9" ht="18">
      <c r="A61" s="114" t="s">
        <v>130</v>
      </c>
      <c r="C61" s="97"/>
      <c r="D61" s="97"/>
      <c r="E61" s="58"/>
      <c r="F61" s="58"/>
      <c r="G61" s="58"/>
      <c r="H61" s="58"/>
      <c r="I61" s="59"/>
    </row>
    <row r="62" spans="1:9" ht="18">
      <c r="A62" s="114" t="s">
        <v>131</v>
      </c>
      <c r="C62" s="115"/>
      <c r="E62" s="56"/>
      <c r="F62" s="56"/>
      <c r="G62" s="56"/>
      <c r="H62" s="56"/>
      <c r="I62" s="57"/>
    </row>
    <row r="63" spans="1:9" ht="18">
      <c r="A63" s="111" t="s">
        <v>132</v>
      </c>
      <c r="C63" s="112">
        <v>200</v>
      </c>
      <c r="E63" s="41">
        <f>Summary!$D$15</f>
        <v>2</v>
      </c>
      <c r="F63" s="56">
        <f>$E$63</f>
        <v>2</v>
      </c>
      <c r="G63" s="56">
        <f>$E$63</f>
        <v>2</v>
      </c>
      <c r="H63" s="56"/>
      <c r="I63" s="57"/>
    </row>
    <row r="64" spans="1:9" ht="18">
      <c r="A64" s="111" t="s">
        <v>133</v>
      </c>
      <c r="C64" s="112"/>
      <c r="E64" s="56"/>
      <c r="F64" s="56"/>
      <c r="G64" s="56"/>
      <c r="H64" s="56"/>
      <c r="I64" s="57"/>
    </row>
    <row r="65" spans="1:9" ht="18">
      <c r="A65" s="114" t="s">
        <v>95</v>
      </c>
      <c r="C65" s="115"/>
      <c r="E65" s="56"/>
      <c r="F65" s="56"/>
      <c r="G65" s="56"/>
      <c r="H65" s="56"/>
      <c r="I65" s="57"/>
    </row>
    <row r="66" spans="1:9" ht="18">
      <c r="A66" s="111" t="s">
        <v>134</v>
      </c>
      <c r="C66" s="115">
        <f>(2/4)*(1)*(8)*(1/2)*(80)</f>
        <v>160</v>
      </c>
      <c r="E66" s="56"/>
      <c r="F66" s="56"/>
      <c r="G66" s="56"/>
      <c r="H66" s="56">
        <f>$E$23</f>
        <v>2.5</v>
      </c>
      <c r="I66" s="57">
        <f>$E$23</f>
        <v>2.5</v>
      </c>
    </row>
    <row r="67" spans="1:9" ht="18">
      <c r="A67" s="42" t="s">
        <v>132</v>
      </c>
      <c r="B67" s="117"/>
      <c r="C67" s="118">
        <f>80*2</f>
        <v>160</v>
      </c>
      <c r="D67" s="81"/>
      <c r="E67" s="56">
        <f>$E$63</f>
        <v>2</v>
      </c>
      <c r="F67" s="56">
        <f>$E$63</f>
        <v>2</v>
      </c>
      <c r="G67" s="56">
        <f>$E$63</f>
        <v>2</v>
      </c>
      <c r="H67" s="43"/>
      <c r="I67" s="44"/>
    </row>
    <row r="68" spans="1:9" ht="18">
      <c r="A68" s="114"/>
      <c r="B68" s="68"/>
      <c r="C68" s="115"/>
      <c r="E68" s="45"/>
      <c r="F68" s="45"/>
      <c r="G68" s="45"/>
      <c r="H68" s="45"/>
      <c r="I68" s="46"/>
    </row>
    <row r="69" spans="1:9" ht="18">
      <c r="A69" s="83" t="s">
        <v>135</v>
      </c>
      <c r="B69" s="68"/>
      <c r="C69" s="115"/>
      <c r="E69" s="84">
        <v>720</v>
      </c>
      <c r="F69" s="85">
        <v>720</v>
      </c>
      <c r="G69" s="85">
        <v>720</v>
      </c>
      <c r="H69" s="85">
        <v>535.503125</v>
      </c>
      <c r="I69" s="85">
        <v>535.503125</v>
      </c>
    </row>
    <row r="70" spans="1:9" ht="18">
      <c r="A70" s="114" t="s">
        <v>136</v>
      </c>
      <c r="B70" s="68"/>
      <c r="C70" s="115"/>
      <c r="E70" s="115">
        <v>0</v>
      </c>
      <c r="F70" s="115">
        <v>0</v>
      </c>
      <c r="G70" s="115">
        <v>0</v>
      </c>
      <c r="H70" s="115">
        <v>535.503125</v>
      </c>
      <c r="I70" s="73">
        <v>535.503125</v>
      </c>
    </row>
    <row r="71" spans="1:9" ht="18">
      <c r="A71" s="114" t="s">
        <v>137</v>
      </c>
      <c r="B71" s="68"/>
      <c r="C71" s="115"/>
      <c r="E71" s="74">
        <v>720</v>
      </c>
      <c r="F71" s="74">
        <v>720</v>
      </c>
      <c r="G71" s="74">
        <v>720</v>
      </c>
      <c r="H71" s="74">
        <v>0</v>
      </c>
      <c r="I71" s="75">
        <v>0</v>
      </c>
    </row>
    <row r="72" spans="1:9" ht="18">
      <c r="A72" s="114" t="s">
        <v>138</v>
      </c>
      <c r="B72" s="68"/>
      <c r="C72" s="115"/>
      <c r="E72" s="115">
        <f>E70*$C109</f>
        <v>0</v>
      </c>
      <c r="F72" s="115">
        <f>F70*$C109</f>
        <v>0</v>
      </c>
      <c r="G72" s="115">
        <f>G70*$C109</f>
        <v>0</v>
      </c>
      <c r="H72" s="115">
        <f>H70*$C109</f>
        <v>215.3337339501509</v>
      </c>
      <c r="I72" s="73">
        <f>I70*$C109</f>
        <v>215.3337339501509</v>
      </c>
    </row>
    <row r="73" spans="1:9" ht="18">
      <c r="A73" s="114" t="s">
        <v>139</v>
      </c>
      <c r="B73" s="68"/>
      <c r="C73" s="115"/>
      <c r="E73" s="115">
        <f>E71*$C108</f>
        <v>147.89195978442882</v>
      </c>
      <c r="F73" s="115">
        <f>F71*$C108</f>
        <v>147.89195978442882</v>
      </c>
      <c r="G73" s="115">
        <f>G71*$C108</f>
        <v>147.89195978442882</v>
      </c>
      <c r="H73" s="115">
        <f>H71*$C108</f>
        <v>0</v>
      </c>
      <c r="I73" s="73">
        <f>I71*$C108</f>
        <v>0</v>
      </c>
    </row>
    <row r="74" spans="1:9" ht="18">
      <c r="A74" s="86" t="s">
        <v>140</v>
      </c>
      <c r="B74" s="47"/>
      <c r="C74" s="74"/>
      <c r="D74" s="53"/>
      <c r="E74" s="48">
        <f>SUM(E72:E73)</f>
        <v>147.89195978442882</v>
      </c>
      <c r="F74" s="49">
        <f>SUM(F72:F73)</f>
        <v>147.89195978442882</v>
      </c>
      <c r="G74" s="49">
        <f>SUM(G72:G73)</f>
        <v>147.89195978442882</v>
      </c>
      <c r="H74" s="49">
        <f>SUM(H72:H73)</f>
        <v>215.3337339501509</v>
      </c>
      <c r="I74" s="49">
        <f>SUM(I72:I73)</f>
        <v>215.3337339501509</v>
      </c>
    </row>
    <row r="75" spans="1:9" ht="18">
      <c r="A75" s="100"/>
      <c r="C75" s="88"/>
      <c r="E75" s="89" t="s">
        <v>99</v>
      </c>
      <c r="F75" s="90">
        <f>AVERAGE(E69:I69)</f>
        <v>646.2012500000001</v>
      </c>
      <c r="G75" s="91" t="s">
        <v>100</v>
      </c>
      <c r="H75" s="92"/>
      <c r="I75" s="62">
        <f>AVERAGE(E74:I74)</f>
        <v>174.86866945071765</v>
      </c>
    </row>
    <row r="76" spans="1:9" ht="18.75">
      <c r="A76" s="105" t="s">
        <v>141</v>
      </c>
      <c r="E76" s="56"/>
      <c r="F76" s="56"/>
      <c r="G76" s="56"/>
      <c r="H76" s="56"/>
      <c r="I76" s="41"/>
    </row>
    <row r="77" spans="1:9" ht="18">
      <c r="A77" s="63" t="s">
        <v>142</v>
      </c>
      <c r="B77" s="107"/>
      <c r="C77" s="64">
        <f>0.25*(AVERAGE(C23:C26))</f>
        <v>54.05375</v>
      </c>
      <c r="D77" s="109"/>
      <c r="E77" s="24">
        <f>$E$23</f>
        <v>2.5</v>
      </c>
      <c r="F77" s="24">
        <f>$E$23</f>
        <v>2.5</v>
      </c>
      <c r="G77" s="24">
        <f>$E$23</f>
        <v>2.5</v>
      </c>
      <c r="H77" s="24">
        <f>$E$23</f>
        <v>2.5</v>
      </c>
      <c r="I77" s="25">
        <f>$E$23</f>
        <v>2.5</v>
      </c>
    </row>
    <row r="78" spans="1:9" ht="18">
      <c r="A78" s="42" t="s">
        <v>143</v>
      </c>
      <c r="B78" s="117"/>
      <c r="C78" s="26"/>
      <c r="D78" s="81"/>
      <c r="E78" s="43"/>
      <c r="F78" s="43"/>
      <c r="G78" s="43"/>
      <c r="H78" s="43"/>
      <c r="I78" s="44"/>
    </row>
    <row r="79" spans="1:9" ht="18">
      <c r="A79" s="114"/>
      <c r="B79" s="68"/>
      <c r="C79" s="112"/>
      <c r="E79" s="45"/>
      <c r="F79" s="45"/>
      <c r="G79" s="45"/>
      <c r="H79" s="45"/>
      <c r="I79" s="46"/>
    </row>
    <row r="80" spans="1:9" ht="18">
      <c r="A80" s="83" t="s">
        <v>144</v>
      </c>
      <c r="B80" s="68"/>
      <c r="C80" s="112"/>
      <c r="E80" s="84">
        <v>135.134375</v>
      </c>
      <c r="F80" s="85">
        <v>135.134375</v>
      </c>
      <c r="G80" s="85">
        <v>135.134375</v>
      </c>
      <c r="H80" s="85">
        <v>135.134375</v>
      </c>
      <c r="I80" s="85">
        <v>135.134375</v>
      </c>
    </row>
    <row r="81" spans="1:9" ht="18">
      <c r="A81" s="86" t="s">
        <v>145</v>
      </c>
      <c r="B81" s="47"/>
      <c r="C81" s="27"/>
      <c r="D81" s="53"/>
      <c r="E81" s="48">
        <f>E80*$C109</f>
        <v>54.33953266616311</v>
      </c>
      <c r="F81" s="49">
        <f>F80*$C109</f>
        <v>54.33953266616311</v>
      </c>
      <c r="G81" s="49">
        <f>G80*$C109</f>
        <v>54.33953266616311</v>
      </c>
      <c r="H81" s="49">
        <f>H80*$C109</f>
        <v>54.33953266616311</v>
      </c>
      <c r="I81" s="49">
        <f>I80*$C109</f>
        <v>54.33953266616311</v>
      </c>
    </row>
    <row r="82" spans="1:9" ht="18">
      <c r="A82" s="100"/>
      <c r="C82" s="88"/>
      <c r="E82" s="89" t="s">
        <v>99</v>
      </c>
      <c r="F82" s="90">
        <f>AVERAGE(E80:I80)</f>
        <v>135.134375</v>
      </c>
      <c r="G82" s="91" t="s">
        <v>100</v>
      </c>
      <c r="H82" s="92"/>
      <c r="I82" s="62">
        <f>AVERAGE(E81:I81)</f>
        <v>54.33953266616311</v>
      </c>
    </row>
    <row r="83" spans="1:9" ht="18.75">
      <c r="A83" s="105" t="s">
        <v>146</v>
      </c>
      <c r="E83" s="56"/>
      <c r="F83" s="56"/>
      <c r="G83" s="56"/>
      <c r="H83" s="56"/>
      <c r="I83" s="56"/>
    </row>
    <row r="84" spans="1:9" ht="18">
      <c r="A84" s="63" t="s">
        <v>142</v>
      </c>
      <c r="B84" s="107"/>
      <c r="C84" s="64">
        <f>0.25*AVERAGE(C23:C26)</f>
        <v>54.05375</v>
      </c>
      <c r="D84" s="109"/>
      <c r="E84" s="24">
        <f>$E$23</f>
        <v>2.5</v>
      </c>
      <c r="F84" s="24">
        <f>$E$23</f>
        <v>2.5</v>
      </c>
      <c r="G84" s="24">
        <f>$E$23</f>
        <v>2.5</v>
      </c>
      <c r="H84" s="24">
        <f>$E$23</f>
        <v>2.5</v>
      </c>
      <c r="I84" s="25">
        <f>$E$23</f>
        <v>2.5</v>
      </c>
    </row>
    <row r="85" spans="1:9" ht="18">
      <c r="A85" s="42" t="s">
        <v>143</v>
      </c>
      <c r="B85" s="117"/>
      <c r="C85" s="26"/>
      <c r="D85" s="81"/>
      <c r="E85" s="43"/>
      <c r="F85" s="43"/>
      <c r="G85" s="43"/>
      <c r="H85" s="43"/>
      <c r="I85" s="44"/>
    </row>
    <row r="86" spans="1:9" ht="18">
      <c r="A86" s="114"/>
      <c r="C86" s="115"/>
      <c r="E86" s="56"/>
      <c r="F86" s="56"/>
      <c r="G86" s="56"/>
      <c r="H86" s="56"/>
      <c r="I86" s="57"/>
    </row>
    <row r="87" spans="1:9" ht="18">
      <c r="A87" s="83" t="s">
        <v>147</v>
      </c>
      <c r="B87" s="68"/>
      <c r="C87" s="115"/>
      <c r="E87" s="84">
        <v>135.134375</v>
      </c>
      <c r="F87" s="85">
        <v>135.134375</v>
      </c>
      <c r="G87" s="85">
        <v>135.134375</v>
      </c>
      <c r="H87" s="85">
        <v>135.134375</v>
      </c>
      <c r="I87" s="85">
        <v>135.134375</v>
      </c>
    </row>
    <row r="88" spans="1:9" ht="18">
      <c r="A88" s="86" t="s">
        <v>148</v>
      </c>
      <c r="B88" s="52"/>
      <c r="C88" s="74"/>
      <c r="D88" s="53"/>
      <c r="E88" s="48">
        <f>E87*$C109</f>
        <v>54.33953266616311</v>
      </c>
      <c r="F88" s="49">
        <f>F87*$C109</f>
        <v>54.33953266616311</v>
      </c>
      <c r="G88" s="49">
        <f>G87*$C109</f>
        <v>54.33953266616311</v>
      </c>
      <c r="H88" s="49">
        <f>H87*$C109</f>
        <v>54.33953266616311</v>
      </c>
      <c r="I88" s="49">
        <f>I87*$C109</f>
        <v>54.33953266616311</v>
      </c>
    </row>
    <row r="89" spans="1:9" ht="18">
      <c r="A89" s="100"/>
      <c r="B89" s="68"/>
      <c r="C89" s="88"/>
      <c r="E89" s="89" t="s">
        <v>99</v>
      </c>
      <c r="F89" s="90">
        <f>AVERAGE(E87:I87)</f>
        <v>135.134375</v>
      </c>
      <c r="G89" s="91" t="s">
        <v>100</v>
      </c>
      <c r="H89" s="92"/>
      <c r="I89" s="62">
        <f>AVERAGE(E88:I88)</f>
        <v>54.33953266616311</v>
      </c>
    </row>
    <row r="90" spans="1:9" ht="18.75">
      <c r="A90" s="105" t="s">
        <v>149</v>
      </c>
      <c r="E90" s="56"/>
      <c r="F90" s="56"/>
      <c r="G90" s="56"/>
      <c r="H90" s="56"/>
      <c r="I90" s="56"/>
    </row>
    <row r="91" spans="1:9" ht="18">
      <c r="A91" s="106" t="s">
        <v>128</v>
      </c>
      <c r="B91" s="107"/>
      <c r="C91" s="108"/>
      <c r="D91" s="109"/>
      <c r="E91" s="24"/>
      <c r="F91" s="24"/>
      <c r="G91" s="24"/>
      <c r="H91" s="24"/>
      <c r="I91" s="25"/>
    </row>
    <row r="92" spans="1:9" ht="18">
      <c r="A92" s="111" t="s">
        <v>150</v>
      </c>
      <c r="C92" s="112">
        <f>(295+88)/2</f>
        <v>191.5</v>
      </c>
      <c r="E92" s="56">
        <v>2.5</v>
      </c>
      <c r="F92" s="56">
        <v>2.5</v>
      </c>
      <c r="G92" s="56">
        <v>2.5</v>
      </c>
      <c r="H92" s="56">
        <v>2.5</v>
      </c>
      <c r="I92" s="57">
        <v>2.5</v>
      </c>
    </row>
    <row r="93" spans="1:9" ht="18">
      <c r="A93" s="111" t="s">
        <v>151</v>
      </c>
      <c r="C93" s="115">
        <f>(485+50+200)/3</f>
        <v>245</v>
      </c>
      <c r="E93" s="56">
        <f>$E$63</f>
        <v>2</v>
      </c>
      <c r="F93" s="56">
        <f>$E$63</f>
        <v>2</v>
      </c>
      <c r="G93" s="56">
        <f>$E$63</f>
        <v>2</v>
      </c>
      <c r="H93" s="56">
        <f>$E$63</f>
        <v>2</v>
      </c>
      <c r="I93" s="57">
        <f>$E$63</f>
        <v>2</v>
      </c>
    </row>
    <row r="94" spans="1:9" ht="18">
      <c r="A94" s="111" t="s">
        <v>152</v>
      </c>
      <c r="C94" s="112">
        <f>(2000+500+1090)/3</f>
        <v>1196.6666666666667</v>
      </c>
      <c r="E94" s="56">
        <v>1</v>
      </c>
      <c r="F94" s="56">
        <v>1</v>
      </c>
      <c r="G94" s="56">
        <v>1</v>
      </c>
      <c r="H94" s="56">
        <v>1</v>
      </c>
      <c r="I94" s="57">
        <v>1</v>
      </c>
    </row>
    <row r="95" spans="1:9" ht="18">
      <c r="A95" s="111" t="s">
        <v>95</v>
      </c>
      <c r="C95" s="112"/>
      <c r="E95" s="56"/>
      <c r="F95" s="56"/>
      <c r="G95" s="56"/>
      <c r="H95" s="56"/>
      <c r="I95" s="57"/>
    </row>
    <row r="96" spans="1:9" ht="18">
      <c r="A96" s="42" t="s">
        <v>153</v>
      </c>
      <c r="B96" s="117"/>
      <c r="C96" s="26">
        <f>80*8*2</f>
        <v>1280</v>
      </c>
      <c r="D96" s="81"/>
      <c r="E96" s="41">
        <f>1*(E63/2)</f>
        <v>1</v>
      </c>
      <c r="F96" s="43">
        <f>$E$96</f>
        <v>1</v>
      </c>
      <c r="G96" s="43">
        <f>$E$96</f>
        <v>1</v>
      </c>
      <c r="H96" s="43">
        <f>$E$96</f>
        <v>1</v>
      </c>
      <c r="I96" s="44">
        <f>$E$96</f>
        <v>1</v>
      </c>
    </row>
    <row r="97" spans="1:9" ht="18">
      <c r="A97" s="114"/>
      <c r="C97" s="115"/>
      <c r="E97" s="68"/>
      <c r="F97" s="68"/>
      <c r="G97" s="68"/>
      <c r="H97" s="68"/>
      <c r="I97" s="28"/>
    </row>
    <row r="98" spans="1:9" ht="18">
      <c r="A98" s="83" t="s">
        <v>154</v>
      </c>
      <c r="C98" s="115"/>
      <c r="E98" s="84">
        <v>3445.416666666667</v>
      </c>
      <c r="F98" s="85">
        <v>3445.416666666667</v>
      </c>
      <c r="G98" s="85">
        <v>3445.416666666667</v>
      </c>
      <c r="H98" s="85">
        <v>3445.416666666667</v>
      </c>
      <c r="I98" s="85">
        <v>3445.416666666667</v>
      </c>
    </row>
    <row r="99" spans="1:9" ht="18">
      <c r="A99" s="86" t="s">
        <v>155</v>
      </c>
      <c r="B99" s="52"/>
      <c r="C99" s="74"/>
      <c r="D99" s="53"/>
      <c r="E99" s="48">
        <f>E98*$C107</f>
        <v>560.7256959514533</v>
      </c>
      <c r="F99" s="49">
        <f>F98*$C107</f>
        <v>560.7256959514533</v>
      </c>
      <c r="G99" s="49">
        <f>G98*$C107</f>
        <v>560.7256959514533</v>
      </c>
      <c r="H99" s="49">
        <f>H98*$C107</f>
        <v>560.7256959514533</v>
      </c>
      <c r="I99" s="49">
        <f>I98*$C107</f>
        <v>560.7256959514533</v>
      </c>
    </row>
    <row r="100" spans="1:9" ht="18">
      <c r="A100" s="100"/>
      <c r="C100" s="115"/>
      <c r="E100" s="89" t="s">
        <v>99</v>
      </c>
      <c r="F100" s="90">
        <f>AVERAGE(E98:I98)</f>
        <v>3445.416666666667</v>
      </c>
      <c r="G100" s="91" t="s">
        <v>100</v>
      </c>
      <c r="H100" s="92"/>
      <c r="I100" s="62">
        <f>AVERAGE(E99:I99)</f>
        <v>560.7256959514533</v>
      </c>
    </row>
    <row r="101" spans="1:9" ht="18">
      <c r="A101" s="29"/>
      <c r="B101" s="103"/>
      <c r="C101" s="30"/>
      <c r="D101" s="29"/>
      <c r="E101" s="31"/>
      <c r="F101" s="31"/>
      <c r="G101" s="31"/>
      <c r="H101" s="31"/>
      <c r="I101" s="31"/>
    </row>
    <row r="103" spans="1:9" ht="18">
      <c r="A103" s="32" t="s">
        <v>156</v>
      </c>
      <c r="C103" s="88"/>
      <c r="E103" s="84">
        <f>SUM(E18,E49,E69,E80,E87,E98)</f>
        <v>18364.035416666666</v>
      </c>
      <c r="F103" s="85">
        <f>SUM(F18,F49,F69,F80,F87,F98)</f>
        <v>18364.035416666666</v>
      </c>
      <c r="G103" s="85">
        <f>SUM(G18,G49,G69,G80,G87,G98)</f>
        <v>18818.685416666667</v>
      </c>
      <c r="H103" s="85">
        <f>SUM(H18,H49,H69,H80,H87,H98)</f>
        <v>17964.818541666667</v>
      </c>
      <c r="I103" s="33">
        <f>SUM(I18,I49,I69,I80,I87,I98)</f>
        <v>18880.883541666666</v>
      </c>
    </row>
    <row r="104" spans="1:9" ht="18">
      <c r="A104" s="32" t="s">
        <v>157</v>
      </c>
      <c r="C104" s="88"/>
      <c r="E104" s="84">
        <f>SUM(E19,E56,E74,E81,E88,E99)</f>
        <v>3434.7263320679453</v>
      </c>
      <c r="F104" s="85">
        <f>SUM(F19,F56,F74,F81,F88,F99)</f>
        <v>3434.7263320679453</v>
      </c>
      <c r="G104" s="85">
        <f>SUM(G19,G56,G74,G81,G88,G99)</f>
        <v>3554.0648174270978</v>
      </c>
      <c r="H104" s="85">
        <f>SUM(H19,H56,H74,H81,H88,H99)</f>
        <v>3443.904834945833</v>
      </c>
      <c r="I104" s="33">
        <f>SUM(I19,I56,I74,I81,I88,I99)</f>
        <v>3587.74560558114</v>
      </c>
    </row>
    <row r="106" ht="18">
      <c r="A106" s="97" t="s">
        <v>158</v>
      </c>
    </row>
    <row r="107" spans="1:9" ht="18">
      <c r="A107" s="97" t="s">
        <v>159</v>
      </c>
      <c r="C107" s="34">
        <f>(0.1*(1+0.1)^10)/((1+0.1)^10-1)</f>
        <v>0.16274539488251152</v>
      </c>
      <c r="F107" s="35" t="s">
        <v>160</v>
      </c>
      <c r="G107" s="36"/>
      <c r="H107" s="37"/>
      <c r="I107" s="38">
        <f>AVERAGE(E103:I103)</f>
        <v>18478.49166666667</v>
      </c>
    </row>
    <row r="108" spans="1:9" ht="18">
      <c r="A108" s="97" t="s">
        <v>161</v>
      </c>
      <c r="C108" s="34">
        <f>(0.1*(1+0.1)^7)/((1+0.1)^7-1)</f>
        <v>0.20540549970059557</v>
      </c>
      <c r="F108" s="35" t="s">
        <v>162</v>
      </c>
      <c r="G108" s="36"/>
      <c r="H108" s="37"/>
      <c r="I108" s="38">
        <f>AVERAGE(E104:I104)</f>
        <v>3491.033584417992</v>
      </c>
    </row>
    <row r="109" spans="1:3" ht="18">
      <c r="A109" s="97" t="s">
        <v>163</v>
      </c>
      <c r="C109" s="34">
        <f>(0.1*(1+0.1)^3)/((1+0.1)^3-1)</f>
        <v>0.4021148036253774</v>
      </c>
    </row>
    <row r="110" ht="18">
      <c r="A110" s="97" t="s">
        <v>164</v>
      </c>
    </row>
  </sheetData>
  <printOptions/>
  <pageMargins left="0.17" right="0.32" top="0.7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0"/>
  <sheetViews>
    <sheetView zoomScale="75" zoomScaleNormal="75" workbookViewId="0" topLeftCell="A94">
      <selection activeCell="A90" sqref="A90:I110"/>
    </sheetView>
  </sheetViews>
  <sheetFormatPr defaultColWidth="9.140625" defaultRowHeight="12.75"/>
  <cols>
    <col min="1" max="1" width="58.8515625" style="97" customWidth="1"/>
    <col min="2" max="2" width="2.57421875" style="97" customWidth="1"/>
    <col min="3" max="3" width="11.57421875" style="97" customWidth="1"/>
    <col min="4" max="4" width="3.8515625" style="97" customWidth="1"/>
    <col min="5" max="5" width="12.28125" style="97" customWidth="1"/>
    <col min="6" max="6" width="12.8515625" style="97" customWidth="1"/>
    <col min="7" max="7" width="12.140625" style="97" customWidth="1"/>
    <col min="8" max="8" width="12.00390625" style="97" customWidth="1"/>
    <col min="9" max="9" width="11.7109375" style="97" customWidth="1"/>
    <col min="10" max="16384" width="9.140625" style="97" customWidth="1"/>
  </cols>
  <sheetData>
    <row r="1" spans="2:9" ht="18">
      <c r="B1" s="98"/>
      <c r="C1" s="99"/>
      <c r="D1" s="100"/>
      <c r="E1" s="98"/>
      <c r="F1" s="98"/>
      <c r="G1" s="98"/>
      <c r="H1" s="98"/>
      <c r="I1" s="98"/>
    </row>
    <row r="2" spans="1:9" ht="18">
      <c r="A2" s="94" t="s">
        <v>165</v>
      </c>
      <c r="B2" s="94"/>
      <c r="C2" s="39"/>
      <c r="D2" s="95"/>
      <c r="E2" s="96"/>
      <c r="F2" s="96"/>
      <c r="G2" s="96"/>
      <c r="H2" s="96"/>
      <c r="I2" s="96"/>
    </row>
    <row r="3" spans="2:9" ht="18">
      <c r="B3" s="98"/>
      <c r="C3" s="99"/>
      <c r="D3" s="100"/>
      <c r="E3" s="98"/>
      <c r="F3" s="98"/>
      <c r="G3" s="98"/>
      <c r="H3" s="98"/>
      <c r="I3" s="98"/>
    </row>
    <row r="4" spans="2:9" ht="18">
      <c r="B4" s="98"/>
      <c r="C4" s="99" t="s">
        <v>80</v>
      </c>
      <c r="D4" s="100"/>
      <c r="E4" s="101" t="s">
        <v>81</v>
      </c>
      <c r="F4" s="101"/>
      <c r="G4" s="101"/>
      <c r="H4" s="101"/>
      <c r="I4" s="101"/>
    </row>
    <row r="5" spans="1:9" ht="18">
      <c r="A5" s="103" t="s">
        <v>82</v>
      </c>
      <c r="B5" s="103"/>
      <c r="C5" s="104" t="s">
        <v>83</v>
      </c>
      <c r="D5" s="100"/>
      <c r="E5" s="103" t="s">
        <v>84</v>
      </c>
      <c r="F5" s="103" t="s">
        <v>85</v>
      </c>
      <c r="G5" s="103" t="s">
        <v>86</v>
      </c>
      <c r="H5" s="103" t="s">
        <v>87</v>
      </c>
      <c r="I5" s="103" t="s">
        <v>88</v>
      </c>
    </row>
    <row r="6" spans="1:9" ht="18.75">
      <c r="A6" s="105" t="s">
        <v>89</v>
      </c>
      <c r="B6" s="98"/>
      <c r="C6" s="99"/>
      <c r="D6" s="100"/>
      <c r="E6" s="98"/>
      <c r="F6" s="98"/>
      <c r="G6" s="98"/>
      <c r="H6" s="98"/>
      <c r="I6" s="98"/>
    </row>
    <row r="7" spans="1:9" ht="18">
      <c r="A7" s="106" t="s">
        <v>90</v>
      </c>
      <c r="B7" s="107"/>
      <c r="C7" s="108"/>
      <c r="D7" s="109"/>
      <c r="E7" s="107"/>
      <c r="F7" s="107"/>
      <c r="G7" s="107"/>
      <c r="H7" s="107"/>
      <c r="I7" s="110"/>
    </row>
    <row r="8" spans="1:9" ht="18">
      <c r="A8" s="111" t="s">
        <v>91</v>
      </c>
      <c r="B8" s="98"/>
      <c r="C8" s="112">
        <f>'Model GDF 1'!C8</f>
        <v>65</v>
      </c>
      <c r="D8" s="100"/>
      <c r="E8" s="98">
        <f>Summary!$E$13</f>
        <v>2.5</v>
      </c>
      <c r="F8" s="98">
        <f>$E$8</f>
        <v>2.5</v>
      </c>
      <c r="G8" s="98">
        <f>F8</f>
        <v>2.5</v>
      </c>
      <c r="H8" s="98">
        <f>G8</f>
        <v>2.5</v>
      </c>
      <c r="I8" s="113">
        <f>$E$8</f>
        <v>2.5</v>
      </c>
    </row>
    <row r="9" spans="1:9" ht="18">
      <c r="A9" s="111" t="s">
        <v>92</v>
      </c>
      <c r="B9" s="98"/>
      <c r="C9" s="112">
        <f>'Model GDF 1'!C9</f>
        <v>351</v>
      </c>
      <c r="D9" s="100"/>
      <c r="E9" s="98">
        <f>$E$8</f>
        <v>2.5</v>
      </c>
      <c r="F9" s="98">
        <f>$E$8</f>
        <v>2.5</v>
      </c>
      <c r="G9" s="98">
        <f aca="true" t="shared" si="0" ref="G9:H11">$E$8</f>
        <v>2.5</v>
      </c>
      <c r="H9" s="98">
        <f t="shared" si="0"/>
        <v>2.5</v>
      </c>
      <c r="I9" s="113">
        <f>$E$8</f>
        <v>2.5</v>
      </c>
    </row>
    <row r="10" spans="1:9" ht="18">
      <c r="A10" s="111" t="s">
        <v>93</v>
      </c>
      <c r="B10" s="98"/>
      <c r="C10" s="112">
        <f>'Model GDF 1'!C10</f>
        <v>178</v>
      </c>
      <c r="D10" s="100"/>
      <c r="E10" s="98">
        <f>$E$8</f>
        <v>2.5</v>
      </c>
      <c r="F10" s="98">
        <f>$E$8</f>
        <v>2.5</v>
      </c>
      <c r="G10" s="98">
        <f t="shared" si="0"/>
        <v>2.5</v>
      </c>
      <c r="H10" s="98">
        <f t="shared" si="0"/>
        <v>2.5</v>
      </c>
      <c r="I10" s="113">
        <f>$E$8</f>
        <v>2.5</v>
      </c>
    </row>
    <row r="11" spans="1:9" ht="18">
      <c r="A11" s="114" t="s">
        <v>94</v>
      </c>
      <c r="B11" s="98"/>
      <c r="C11" s="112">
        <f>'Model GDF 1'!C11</f>
        <v>55</v>
      </c>
      <c r="D11" s="100"/>
      <c r="E11" s="98">
        <f>$E$8</f>
        <v>2.5</v>
      </c>
      <c r="F11" s="98">
        <f>$E$8</f>
        <v>2.5</v>
      </c>
      <c r="G11" s="98">
        <f t="shared" si="0"/>
        <v>2.5</v>
      </c>
      <c r="H11" s="98">
        <f t="shared" si="0"/>
        <v>2.5</v>
      </c>
      <c r="I11" s="113">
        <f>$E$8</f>
        <v>2.5</v>
      </c>
    </row>
    <row r="12" spans="1:9" ht="18">
      <c r="A12" s="114" t="s">
        <v>95</v>
      </c>
      <c r="B12" s="98"/>
      <c r="C12" s="112"/>
      <c r="D12" s="100"/>
      <c r="E12" s="98"/>
      <c r="F12" s="98"/>
      <c r="G12" s="98"/>
      <c r="H12" s="98"/>
      <c r="I12" s="113"/>
    </row>
    <row r="13" spans="1:9" ht="18">
      <c r="A13" s="111" t="s">
        <v>96</v>
      </c>
      <c r="B13" s="98"/>
      <c r="C13" s="112">
        <f>'Model GDF 1'!C13</f>
        <v>80</v>
      </c>
      <c r="D13" s="100"/>
      <c r="E13" s="98">
        <f aca="true" t="shared" si="1" ref="E13:I16">$E$8</f>
        <v>2.5</v>
      </c>
      <c r="F13" s="98">
        <f t="shared" si="1"/>
        <v>2.5</v>
      </c>
      <c r="G13" s="98">
        <f t="shared" si="1"/>
        <v>2.5</v>
      </c>
      <c r="H13" s="98">
        <f t="shared" si="1"/>
        <v>2.5</v>
      </c>
      <c r="I13" s="113">
        <f t="shared" si="1"/>
        <v>2.5</v>
      </c>
    </row>
    <row r="14" spans="1:9" ht="18">
      <c r="A14" s="111" t="s">
        <v>92</v>
      </c>
      <c r="B14" s="98"/>
      <c r="C14" s="112">
        <f>'Model GDF 1'!C14</f>
        <v>160</v>
      </c>
      <c r="D14" s="100"/>
      <c r="E14" s="98">
        <f t="shared" si="1"/>
        <v>2.5</v>
      </c>
      <c r="F14" s="98">
        <f t="shared" si="1"/>
        <v>2.5</v>
      </c>
      <c r="G14" s="98">
        <f t="shared" si="1"/>
        <v>2.5</v>
      </c>
      <c r="H14" s="98">
        <f t="shared" si="1"/>
        <v>2.5</v>
      </c>
      <c r="I14" s="113">
        <f t="shared" si="1"/>
        <v>2.5</v>
      </c>
    </row>
    <row r="15" spans="1:9" ht="18">
      <c r="A15" s="111" t="s">
        <v>93</v>
      </c>
      <c r="B15" s="98"/>
      <c r="C15" s="112">
        <f>'Model GDF 1'!C15</f>
        <v>160</v>
      </c>
      <c r="D15" s="100"/>
      <c r="E15" s="98">
        <f t="shared" si="1"/>
        <v>2.5</v>
      </c>
      <c r="F15" s="98">
        <f t="shared" si="1"/>
        <v>2.5</v>
      </c>
      <c r="G15" s="98">
        <f t="shared" si="1"/>
        <v>2.5</v>
      </c>
      <c r="H15" s="98">
        <f t="shared" si="1"/>
        <v>2.5</v>
      </c>
      <c r="I15" s="113">
        <f t="shared" si="1"/>
        <v>2.5</v>
      </c>
    </row>
    <row r="16" spans="1:9" ht="18">
      <c r="A16" s="116" t="s">
        <v>94</v>
      </c>
      <c r="B16" s="117"/>
      <c r="C16" s="112">
        <f>'Model GDF 1'!C16</f>
        <v>80</v>
      </c>
      <c r="D16" s="119"/>
      <c r="E16" s="98">
        <f t="shared" si="1"/>
        <v>2.5</v>
      </c>
      <c r="F16" s="98">
        <f t="shared" si="1"/>
        <v>2.5</v>
      </c>
      <c r="G16" s="98">
        <f t="shared" si="1"/>
        <v>2.5</v>
      </c>
      <c r="H16" s="98">
        <f t="shared" si="1"/>
        <v>2.5</v>
      </c>
      <c r="I16" s="113">
        <f t="shared" si="1"/>
        <v>2.5</v>
      </c>
    </row>
    <row r="17" spans="1:9" ht="18">
      <c r="A17" s="116"/>
      <c r="B17" s="80"/>
      <c r="C17" s="112"/>
      <c r="D17" s="81"/>
      <c r="E17" s="80"/>
      <c r="F17" s="80"/>
      <c r="G17" s="80"/>
      <c r="H17" s="80"/>
      <c r="I17" s="82"/>
    </row>
    <row r="18" spans="1:9" ht="18">
      <c r="A18" s="83" t="s">
        <v>97</v>
      </c>
      <c r="C18" s="112"/>
      <c r="E18" s="84">
        <v>2822.5</v>
      </c>
      <c r="F18" s="85">
        <v>2822.5</v>
      </c>
      <c r="G18" s="85">
        <v>2822.5</v>
      </c>
      <c r="H18" s="85">
        <v>2822.5</v>
      </c>
      <c r="I18" s="85">
        <v>2822.5</v>
      </c>
    </row>
    <row r="19" spans="1:9" ht="18">
      <c r="A19" s="86" t="s">
        <v>98</v>
      </c>
      <c r="B19" s="87"/>
      <c r="C19" s="87"/>
      <c r="D19" s="87"/>
      <c r="E19" s="48">
        <f>E18*$C$108</f>
        <v>579.757022904931</v>
      </c>
      <c r="F19" s="49">
        <f>F18*$C$108</f>
        <v>579.757022904931</v>
      </c>
      <c r="G19" s="49">
        <f>G18*$C$108</f>
        <v>579.757022904931</v>
      </c>
      <c r="H19" s="49">
        <f>H18*$C$108</f>
        <v>579.757022904931</v>
      </c>
      <c r="I19" s="49">
        <f>I18*$C$108</f>
        <v>579.757022904931</v>
      </c>
    </row>
    <row r="20" spans="1:9" ht="18">
      <c r="A20" s="111"/>
      <c r="B20" s="98"/>
      <c r="C20" s="115"/>
      <c r="D20" s="100"/>
      <c r="E20" s="89" t="s">
        <v>99</v>
      </c>
      <c r="F20" s="90">
        <f>AVERAGE(E18:I18)</f>
        <v>2822.5</v>
      </c>
      <c r="G20" s="91" t="s">
        <v>100</v>
      </c>
      <c r="H20" s="92"/>
      <c r="I20" s="62">
        <f>AVERAGE(E19:I19)</f>
        <v>579.757022904931</v>
      </c>
    </row>
    <row r="21" spans="1:9" ht="18.75">
      <c r="A21" s="105" t="s">
        <v>101</v>
      </c>
      <c r="B21" s="98"/>
      <c r="C21" s="112"/>
      <c r="D21" s="100"/>
      <c r="E21" s="98"/>
      <c r="F21" s="98"/>
      <c r="G21" s="98"/>
      <c r="H21" s="98"/>
      <c r="I21" s="98"/>
    </row>
    <row r="22" spans="1:9" ht="18">
      <c r="A22" s="63" t="s">
        <v>102</v>
      </c>
      <c r="B22" s="107"/>
      <c r="C22" s="64"/>
      <c r="D22" s="109"/>
      <c r="E22" s="107"/>
      <c r="F22" s="107"/>
      <c r="G22" s="107"/>
      <c r="H22" s="107"/>
      <c r="I22" s="110"/>
    </row>
    <row r="23" spans="1:9" ht="18">
      <c r="A23" s="114" t="s">
        <v>103</v>
      </c>
      <c r="B23" s="98"/>
      <c r="C23" s="112">
        <f>'Model GDF 1'!C23</f>
        <v>200</v>
      </c>
      <c r="D23" s="100"/>
      <c r="E23" s="8">
        <f>Summary!$E$14</f>
        <v>3.25</v>
      </c>
      <c r="F23" s="9">
        <f>$E$23</f>
        <v>3.25</v>
      </c>
      <c r="G23" s="9"/>
      <c r="H23" s="9"/>
      <c r="I23" s="10"/>
    </row>
    <row r="24" spans="1:9" ht="18">
      <c r="A24" s="114" t="s">
        <v>104</v>
      </c>
      <c r="B24" s="98"/>
      <c r="C24" s="112">
        <f>'Model GDF 1'!C24</f>
        <v>231.25</v>
      </c>
      <c r="D24" s="100"/>
      <c r="E24" s="9"/>
      <c r="F24" s="9"/>
      <c r="G24" s="9">
        <f>$E$23</f>
        <v>3.25</v>
      </c>
      <c r="H24" s="9"/>
      <c r="I24" s="10"/>
    </row>
    <row r="25" spans="1:9" ht="18">
      <c r="A25" s="114" t="s">
        <v>105</v>
      </c>
      <c r="B25" s="98"/>
      <c r="C25" s="112">
        <f>'Model GDF 1'!C25</f>
        <v>208.83</v>
      </c>
      <c r="D25" s="100"/>
      <c r="E25" s="9"/>
      <c r="F25" s="9"/>
      <c r="G25" s="9"/>
      <c r="H25" s="9">
        <f>$E$23</f>
        <v>3.25</v>
      </c>
      <c r="I25" s="10"/>
    </row>
    <row r="26" spans="1:9" ht="18">
      <c r="A26" s="114" t="s">
        <v>106</v>
      </c>
      <c r="B26" s="98"/>
      <c r="C26" s="112">
        <f>'Model GDF 1'!C26</f>
        <v>224.78</v>
      </c>
      <c r="D26" s="100"/>
      <c r="E26" s="9"/>
      <c r="F26" s="9"/>
      <c r="G26" s="9"/>
      <c r="H26" s="9"/>
      <c r="I26" s="10">
        <f>$E$23</f>
        <v>3.25</v>
      </c>
    </row>
    <row r="27" spans="1:9" ht="18">
      <c r="A27" s="114" t="s">
        <v>107</v>
      </c>
      <c r="B27" s="98"/>
      <c r="C27" s="112">
        <f>'Model GDF 1'!C27</f>
        <v>381.82</v>
      </c>
      <c r="D27" s="100"/>
      <c r="E27" s="9">
        <f>E$23</f>
        <v>3.25</v>
      </c>
      <c r="F27" s="9">
        <f>F$23</f>
        <v>3.25</v>
      </c>
      <c r="G27" s="9"/>
      <c r="H27" s="9"/>
      <c r="I27" s="10"/>
    </row>
    <row r="28" spans="1:9" ht="18">
      <c r="A28" s="114" t="s">
        <v>108</v>
      </c>
      <c r="B28" s="98"/>
      <c r="C28" s="112">
        <f>'Model GDF 1'!C28</f>
        <v>467.87</v>
      </c>
      <c r="D28" s="100"/>
      <c r="E28" s="9"/>
      <c r="F28" s="9"/>
      <c r="G28" s="9">
        <f>G$24</f>
        <v>3.25</v>
      </c>
      <c r="H28" s="9"/>
      <c r="I28" s="10"/>
    </row>
    <row r="29" spans="1:9" ht="18">
      <c r="A29" s="114" t="s">
        <v>109</v>
      </c>
      <c r="B29" s="98"/>
      <c r="C29" s="112">
        <f>'Model GDF 1'!C29</f>
        <v>400.11</v>
      </c>
      <c r="D29" s="100"/>
      <c r="E29" s="9"/>
      <c r="F29" s="9"/>
      <c r="G29" s="9"/>
      <c r="H29" s="9">
        <f>H$25</f>
        <v>3.25</v>
      </c>
      <c r="I29" s="10"/>
    </row>
    <row r="30" spans="1:9" ht="18">
      <c r="A30" s="114" t="s">
        <v>110</v>
      </c>
      <c r="B30" s="98"/>
      <c r="C30" s="112">
        <f>'Model GDF 1'!C30</f>
        <v>220.49</v>
      </c>
      <c r="D30" s="100"/>
      <c r="E30" s="9"/>
      <c r="F30" s="9"/>
      <c r="G30" s="9"/>
      <c r="H30" s="9"/>
      <c r="I30" s="10">
        <f>I$26</f>
        <v>3.25</v>
      </c>
    </row>
    <row r="31" spans="1:9" ht="18">
      <c r="A31" s="114" t="s">
        <v>111</v>
      </c>
      <c r="B31" s="98"/>
      <c r="C31" s="115"/>
      <c r="D31" s="100"/>
      <c r="E31" s="9"/>
      <c r="F31" s="9"/>
      <c r="G31" s="9"/>
      <c r="H31" s="9"/>
      <c r="I31" s="10"/>
    </row>
    <row r="32" spans="1:9" ht="18">
      <c r="A32" s="114" t="s">
        <v>112</v>
      </c>
      <c r="B32" s="98"/>
      <c r="C32" s="112">
        <f>'Model GDF 1'!C32</f>
        <v>7500</v>
      </c>
      <c r="D32" s="100"/>
      <c r="E32" s="9"/>
      <c r="F32" s="9"/>
      <c r="G32" s="9"/>
      <c r="H32" s="9">
        <v>1</v>
      </c>
      <c r="I32" s="10"/>
    </row>
    <row r="33" spans="1:9" ht="18">
      <c r="A33" s="114" t="s">
        <v>113</v>
      </c>
      <c r="B33" s="98"/>
      <c r="C33" s="112">
        <f>'Model GDF 1'!C33</f>
        <v>9000</v>
      </c>
      <c r="D33" s="100"/>
      <c r="E33" s="9"/>
      <c r="F33" s="9"/>
      <c r="G33" s="9"/>
      <c r="H33" s="9"/>
      <c r="I33" s="10">
        <v>1</v>
      </c>
    </row>
    <row r="34" spans="1:9" ht="18">
      <c r="A34" s="111" t="s">
        <v>114</v>
      </c>
      <c r="B34" s="98"/>
      <c r="C34" s="112"/>
      <c r="D34" s="100"/>
      <c r="E34" s="9"/>
      <c r="F34" s="9"/>
      <c r="G34" s="9"/>
      <c r="H34" s="9"/>
      <c r="I34" s="10"/>
    </row>
    <row r="35" spans="1:9" ht="18">
      <c r="A35" s="111" t="s">
        <v>115</v>
      </c>
      <c r="B35" s="98"/>
      <c r="C35" s="112">
        <f>'Model GDF 1'!C35</f>
        <v>7500</v>
      </c>
      <c r="D35" s="100"/>
      <c r="E35" s="9">
        <v>1</v>
      </c>
      <c r="F35" s="9">
        <v>1</v>
      </c>
      <c r="G35" s="9">
        <v>1</v>
      </c>
      <c r="H35" s="9"/>
      <c r="I35" s="10"/>
    </row>
    <row r="36" spans="1:9" ht="18">
      <c r="A36" s="114" t="s">
        <v>95</v>
      </c>
      <c r="B36" s="98"/>
      <c r="C36" s="112"/>
      <c r="D36" s="100"/>
      <c r="E36" s="9"/>
      <c r="F36" s="9"/>
      <c r="G36" s="9"/>
      <c r="H36" s="9"/>
      <c r="I36" s="10"/>
    </row>
    <row r="37" spans="1:9" ht="18">
      <c r="A37" s="114" t="s">
        <v>103</v>
      </c>
      <c r="B37" s="98"/>
      <c r="C37" s="112">
        <f>'Model GDF 1'!C37</f>
        <v>86.04</v>
      </c>
      <c r="D37" s="100"/>
      <c r="E37" s="9">
        <f>E$23</f>
        <v>3.25</v>
      </c>
      <c r="F37" s="9">
        <f>F$23</f>
        <v>3.25</v>
      </c>
      <c r="G37" s="9"/>
      <c r="H37" s="9"/>
      <c r="I37" s="10"/>
    </row>
    <row r="38" spans="1:9" ht="18">
      <c r="A38" s="114" t="s">
        <v>104</v>
      </c>
      <c r="B38" s="98"/>
      <c r="C38" s="112">
        <f>'Model GDF 1'!C38</f>
        <v>107.56</v>
      </c>
      <c r="D38" s="100"/>
      <c r="E38" s="9"/>
      <c r="F38" s="9"/>
      <c r="G38" s="9">
        <f>G$24</f>
        <v>3.25</v>
      </c>
      <c r="H38" s="9"/>
      <c r="I38" s="10"/>
    </row>
    <row r="39" spans="1:9" ht="18">
      <c r="A39" s="114" t="s">
        <v>105</v>
      </c>
      <c r="B39" s="98"/>
      <c r="C39" s="112">
        <f>'Model GDF 1'!C39</f>
        <v>48.4</v>
      </c>
      <c r="D39" s="100"/>
      <c r="E39" s="9"/>
      <c r="F39" s="9"/>
      <c r="G39" s="9"/>
      <c r="H39" s="9">
        <f>H$25</f>
        <v>3.25</v>
      </c>
      <c r="I39" s="10"/>
    </row>
    <row r="40" spans="1:9" ht="18">
      <c r="A40" s="114" t="s">
        <v>106</v>
      </c>
      <c r="B40" s="98"/>
      <c r="C40" s="112">
        <f>'Model GDF 1'!C40</f>
        <v>53.78</v>
      </c>
      <c r="D40" s="100"/>
      <c r="E40" s="9"/>
      <c r="F40" s="9"/>
      <c r="G40" s="9"/>
      <c r="H40" s="9"/>
      <c r="I40" s="10">
        <f>I$26</f>
        <v>3.25</v>
      </c>
    </row>
    <row r="41" spans="1:9" ht="18">
      <c r="A41" s="114" t="s">
        <v>107</v>
      </c>
      <c r="B41" s="68"/>
      <c r="C41" s="112">
        <f>'Model GDF 1'!C41</f>
        <v>172.08</v>
      </c>
      <c r="D41" s="100"/>
      <c r="E41" s="9">
        <f>E$23</f>
        <v>3.25</v>
      </c>
      <c r="F41" s="9">
        <f>F$23</f>
        <v>3.25</v>
      </c>
      <c r="G41" s="9"/>
      <c r="H41" s="9"/>
      <c r="I41" s="10"/>
    </row>
    <row r="42" spans="1:9" ht="18">
      <c r="A42" s="114" t="s">
        <v>108</v>
      </c>
      <c r="B42" s="68"/>
      <c r="C42" s="112">
        <f>'Model GDF 1'!C42</f>
        <v>215.12</v>
      </c>
      <c r="D42" s="100"/>
      <c r="E42" s="9"/>
      <c r="F42" s="9"/>
      <c r="G42" s="9">
        <f>G$24</f>
        <v>3.25</v>
      </c>
      <c r="H42" s="9"/>
      <c r="I42" s="10"/>
    </row>
    <row r="43" spans="1:9" ht="18">
      <c r="A43" s="114" t="s">
        <v>109</v>
      </c>
      <c r="B43" s="68"/>
      <c r="C43" s="112">
        <f>'Model GDF 1'!C43</f>
        <v>96.8</v>
      </c>
      <c r="D43" s="100"/>
      <c r="E43" s="9"/>
      <c r="F43" s="9"/>
      <c r="G43" s="9"/>
      <c r="H43" s="9">
        <f>H$25</f>
        <v>3.25</v>
      </c>
      <c r="I43" s="10"/>
    </row>
    <row r="44" spans="1:9" ht="18">
      <c r="A44" s="114" t="s">
        <v>110</v>
      </c>
      <c r="B44" s="68"/>
      <c r="C44" s="112">
        <f>'Model GDF 1'!C44</f>
        <v>107.56</v>
      </c>
      <c r="D44" s="100"/>
      <c r="E44" s="9"/>
      <c r="F44" s="9"/>
      <c r="G44" s="9"/>
      <c r="H44" s="9"/>
      <c r="I44" s="10">
        <f>I$26</f>
        <v>3.25</v>
      </c>
    </row>
    <row r="45" spans="1:9" ht="18">
      <c r="A45" s="114" t="s">
        <v>116</v>
      </c>
      <c r="B45" s="98"/>
      <c r="C45" s="112">
        <f>'Model GDF 1'!C45</f>
        <v>1505.78</v>
      </c>
      <c r="D45" s="100"/>
      <c r="E45" s="9"/>
      <c r="F45" s="9"/>
      <c r="G45" s="9"/>
      <c r="H45" s="9">
        <v>1</v>
      </c>
      <c r="I45" s="10"/>
    </row>
    <row r="46" spans="1:9" ht="18">
      <c r="A46" s="114" t="s">
        <v>117</v>
      </c>
      <c r="B46" s="98"/>
      <c r="C46" s="112">
        <f>'Model GDF 1'!C46</f>
        <v>1290.67</v>
      </c>
      <c r="D46" s="100"/>
      <c r="E46" s="9"/>
      <c r="F46" s="9"/>
      <c r="G46" s="9"/>
      <c r="H46" s="9"/>
      <c r="I46" s="10">
        <v>1</v>
      </c>
    </row>
    <row r="47" spans="1:9" ht="18">
      <c r="A47" s="116" t="s">
        <v>118</v>
      </c>
      <c r="B47" s="117"/>
      <c r="C47" s="112">
        <f>'Model GDF 1'!C47</f>
        <v>1506</v>
      </c>
      <c r="D47" s="81"/>
      <c r="E47" s="11">
        <v>1</v>
      </c>
      <c r="F47" s="11">
        <v>1</v>
      </c>
      <c r="G47" s="11">
        <v>1</v>
      </c>
      <c r="H47" s="11"/>
      <c r="I47" s="12"/>
    </row>
    <row r="48" spans="1:9" ht="18">
      <c r="A48" s="114"/>
      <c r="B48" s="68"/>
      <c r="C48" s="115"/>
      <c r="D48" s="100"/>
      <c r="E48" s="71"/>
      <c r="F48" s="71"/>
      <c r="G48" s="71"/>
      <c r="H48" s="71"/>
      <c r="I48" s="72"/>
    </row>
    <row r="49" spans="1:9" ht="18">
      <c r="A49" s="83" t="s">
        <v>119</v>
      </c>
      <c r="B49" s="68"/>
      <c r="C49" s="115"/>
      <c r="D49" s="100"/>
      <c r="E49" s="84">
        <v>11735.805</v>
      </c>
      <c r="F49" s="85">
        <v>11735.805</v>
      </c>
      <c r="G49" s="85">
        <v>12326.85</v>
      </c>
      <c r="H49" s="85">
        <v>11456.735</v>
      </c>
      <c r="I49" s="85">
        <v>12262.1525</v>
      </c>
    </row>
    <row r="50" spans="1:9" ht="18">
      <c r="A50" s="114" t="s">
        <v>120</v>
      </c>
      <c r="B50" s="68"/>
      <c r="C50" s="115"/>
      <c r="D50" s="100"/>
      <c r="E50" s="115">
        <v>929.63</v>
      </c>
      <c r="F50" s="115">
        <v>929.63</v>
      </c>
      <c r="G50" s="115">
        <v>1101.1325</v>
      </c>
      <c r="H50" s="115">
        <v>835.9975</v>
      </c>
      <c r="I50" s="73">
        <v>905.32</v>
      </c>
    </row>
    <row r="51" spans="1:9" ht="18">
      <c r="A51" s="114" t="s">
        <v>121</v>
      </c>
      <c r="B51" s="68"/>
      <c r="C51" s="115"/>
      <c r="D51" s="100"/>
      <c r="E51" s="115">
        <v>1800.175</v>
      </c>
      <c r="F51" s="115">
        <v>1800.175</v>
      </c>
      <c r="G51" s="115">
        <v>2219.7175</v>
      </c>
      <c r="H51" s="115">
        <v>1614.9575</v>
      </c>
      <c r="I51" s="73">
        <v>1066.1625</v>
      </c>
    </row>
    <row r="52" spans="1:9" ht="18">
      <c r="A52" s="114" t="s">
        <v>122</v>
      </c>
      <c r="B52" s="68"/>
      <c r="C52" s="115"/>
      <c r="D52" s="100"/>
      <c r="E52" s="74">
        <f>E49-E50-E51</f>
        <v>9006.000000000002</v>
      </c>
      <c r="F52" s="74">
        <f>F49-F50-F51</f>
        <v>9006.000000000002</v>
      </c>
      <c r="G52" s="74">
        <f>G49-G50-G51</f>
        <v>9005.999999999998</v>
      </c>
      <c r="H52" s="74">
        <f>H49-H50-H51</f>
        <v>9005.78</v>
      </c>
      <c r="I52" s="75">
        <f>I49-I50-I51</f>
        <v>10290.67</v>
      </c>
    </row>
    <row r="53" spans="1:9" ht="18">
      <c r="A53" s="114" t="s">
        <v>123</v>
      </c>
      <c r="B53" s="68"/>
      <c r="C53" s="115"/>
      <c r="D53" s="100"/>
      <c r="E53" s="115">
        <f>E50*$C$109</f>
        <v>373.81798489425955</v>
      </c>
      <c r="F53" s="115">
        <f>F50*$C$109</f>
        <v>373.81798489425955</v>
      </c>
      <c r="G53" s="115">
        <f>G50*$C$109</f>
        <v>442.7816790030208</v>
      </c>
      <c r="H53" s="115">
        <f>H50*$C$109</f>
        <v>336.1669705438064</v>
      </c>
      <c r="I53" s="73">
        <f>I50*$C$109</f>
        <v>364.04257401812663</v>
      </c>
    </row>
    <row r="54" spans="1:9" ht="18">
      <c r="A54" s="114" t="s">
        <v>124</v>
      </c>
      <c r="B54" s="68"/>
      <c r="C54" s="115"/>
      <c r="D54" s="100"/>
      <c r="E54" s="115">
        <f>E51*$C$108</f>
        <v>369.76584542351964</v>
      </c>
      <c r="F54" s="115">
        <f>F51*$C$108</f>
        <v>369.76584542351964</v>
      </c>
      <c r="G54" s="115">
        <f>G51*$C$108</f>
        <v>455.9421822816568</v>
      </c>
      <c r="H54" s="115">
        <f>H51*$C$108</f>
        <v>331.7211522827246</v>
      </c>
      <c r="I54" s="73">
        <f>I51*$C$108</f>
        <v>218.9956410745362</v>
      </c>
    </row>
    <row r="55" spans="1:9" ht="18">
      <c r="A55" s="114" t="s">
        <v>125</v>
      </c>
      <c r="B55" s="68"/>
      <c r="C55" s="115"/>
      <c r="D55" s="100"/>
      <c r="E55" s="76">
        <f>E52*$C$107</f>
        <v>1465.685026311899</v>
      </c>
      <c r="F55" s="77">
        <f>F52*$C$107</f>
        <v>1465.685026311899</v>
      </c>
      <c r="G55" s="77">
        <f>G52*$C$107</f>
        <v>1465.6850263118986</v>
      </c>
      <c r="H55" s="77">
        <f>H52*$C$107</f>
        <v>1465.6492223250248</v>
      </c>
      <c r="I55" s="51">
        <f>I52*$C$107</f>
        <v>1674.7591527556149</v>
      </c>
    </row>
    <row r="56" spans="1:9" ht="18">
      <c r="A56" s="86" t="s">
        <v>126</v>
      </c>
      <c r="B56" s="52"/>
      <c r="C56" s="74"/>
      <c r="D56" s="53"/>
      <c r="E56" s="54">
        <f>SUM(E53:E55)</f>
        <v>2209.2688566296783</v>
      </c>
      <c r="F56" s="55">
        <f>SUM(F53:F55)</f>
        <v>2209.2688566296783</v>
      </c>
      <c r="G56" s="55">
        <f>SUM(G53:G55)</f>
        <v>2364.4088875965763</v>
      </c>
      <c r="H56" s="55">
        <f>SUM(H53:H55)</f>
        <v>2133.5373451515557</v>
      </c>
      <c r="I56" s="55">
        <f>SUM(I53:I55)</f>
        <v>2257.7973678482776</v>
      </c>
    </row>
    <row r="57" spans="1:9" ht="18">
      <c r="A57" s="100"/>
      <c r="B57" s="68"/>
      <c r="C57" s="88"/>
      <c r="D57" s="100"/>
      <c r="E57" s="89" t="s">
        <v>99</v>
      </c>
      <c r="F57" s="90">
        <f>AVERAGE(E49:I49)</f>
        <v>11903.469500000001</v>
      </c>
      <c r="G57" s="91" t="s">
        <v>100</v>
      </c>
      <c r="H57" s="92"/>
      <c r="I57" s="62">
        <f>AVERAGE(E56:I56)</f>
        <v>2234.8562627711535</v>
      </c>
    </row>
    <row r="58" spans="1:9" ht="18.75">
      <c r="A58" s="105" t="s">
        <v>127</v>
      </c>
      <c r="B58" s="98"/>
      <c r="C58" s="99"/>
      <c r="D58" s="100"/>
      <c r="E58" s="98"/>
      <c r="F58" s="98"/>
      <c r="G58" s="98"/>
      <c r="H58" s="98"/>
      <c r="I58" s="98"/>
    </row>
    <row r="59" spans="1:9" ht="18">
      <c r="A59" s="106" t="s">
        <v>128</v>
      </c>
      <c r="B59" s="107"/>
      <c r="C59" s="108"/>
      <c r="D59" s="109"/>
      <c r="E59" s="107"/>
      <c r="F59" s="107"/>
      <c r="G59" s="107"/>
      <c r="H59" s="107"/>
      <c r="I59" s="110"/>
    </row>
    <row r="60" spans="1:9" ht="18">
      <c r="A60" s="111" t="s">
        <v>129</v>
      </c>
      <c r="B60" s="98"/>
      <c r="C60" s="112">
        <f>'Model GDF 1'!C60</f>
        <v>54.20125</v>
      </c>
      <c r="D60" s="100"/>
      <c r="E60" s="13"/>
      <c r="F60" s="13"/>
      <c r="G60" s="13"/>
      <c r="H60" s="13">
        <f>$E$23</f>
        <v>3.25</v>
      </c>
      <c r="I60" s="10">
        <f>$E$23</f>
        <v>3.25</v>
      </c>
    </row>
    <row r="61" spans="1:9" ht="18">
      <c r="A61" s="114" t="s">
        <v>130</v>
      </c>
      <c r="B61" s="98"/>
      <c r="E61" s="14"/>
      <c r="F61" s="14"/>
      <c r="G61" s="14"/>
      <c r="H61" s="14"/>
      <c r="I61" s="15"/>
    </row>
    <row r="62" spans="1:9" ht="18">
      <c r="A62" s="114" t="s">
        <v>131</v>
      </c>
      <c r="B62" s="98"/>
      <c r="C62" s="115"/>
      <c r="D62" s="100"/>
      <c r="E62" s="13"/>
      <c r="F62" s="13"/>
      <c r="G62" s="13"/>
      <c r="H62" s="13"/>
      <c r="I62" s="10"/>
    </row>
    <row r="63" spans="1:9" ht="18">
      <c r="A63" s="111" t="s">
        <v>132</v>
      </c>
      <c r="B63" s="98"/>
      <c r="C63" s="112">
        <f>'Model GDF 1'!C63</f>
        <v>200</v>
      </c>
      <c r="D63" s="100"/>
      <c r="E63" s="8">
        <f>Summary!$E$15</f>
        <v>3</v>
      </c>
      <c r="F63" s="13">
        <f>$E$63</f>
        <v>3</v>
      </c>
      <c r="G63" s="13">
        <f>$E$63</f>
        <v>3</v>
      </c>
      <c r="H63" s="13"/>
      <c r="I63" s="10"/>
    </row>
    <row r="64" spans="1:9" ht="18">
      <c r="A64" s="111" t="s">
        <v>133</v>
      </c>
      <c r="B64" s="98"/>
      <c r="C64" s="112"/>
      <c r="D64" s="100"/>
      <c r="E64" s="13"/>
      <c r="F64" s="13"/>
      <c r="G64" s="13"/>
      <c r="H64" s="13"/>
      <c r="I64" s="10"/>
    </row>
    <row r="65" spans="1:9" ht="18">
      <c r="A65" s="114" t="s">
        <v>95</v>
      </c>
      <c r="B65" s="98"/>
      <c r="C65" s="115"/>
      <c r="D65" s="100"/>
      <c r="E65" s="13"/>
      <c r="F65" s="13"/>
      <c r="G65" s="13"/>
      <c r="H65" s="13"/>
      <c r="I65" s="10"/>
    </row>
    <row r="66" spans="1:9" ht="18">
      <c r="A66" s="111" t="s">
        <v>134</v>
      </c>
      <c r="B66" s="98"/>
      <c r="C66" s="112">
        <f>'Model GDF 1'!C66</f>
        <v>160</v>
      </c>
      <c r="D66" s="100"/>
      <c r="E66" s="13"/>
      <c r="F66" s="13"/>
      <c r="G66" s="13"/>
      <c r="H66" s="13">
        <f>$E$23</f>
        <v>3.25</v>
      </c>
      <c r="I66" s="10">
        <f>$E$23</f>
        <v>3.25</v>
      </c>
    </row>
    <row r="67" spans="1:9" ht="18">
      <c r="A67" s="42" t="s">
        <v>132</v>
      </c>
      <c r="B67" s="117"/>
      <c r="C67" s="112">
        <f>'Model GDF 1'!C67</f>
        <v>160</v>
      </c>
      <c r="D67" s="81"/>
      <c r="E67" s="13">
        <f>$E$63</f>
        <v>3</v>
      </c>
      <c r="F67" s="13">
        <f>$E$63</f>
        <v>3</v>
      </c>
      <c r="G67" s="13">
        <f>$E$63</f>
        <v>3</v>
      </c>
      <c r="H67" s="16"/>
      <c r="I67" s="12"/>
    </row>
    <row r="68" spans="1:9" ht="18">
      <c r="A68" s="114"/>
      <c r="B68" s="68"/>
      <c r="C68" s="115"/>
      <c r="D68" s="100"/>
      <c r="E68" s="45"/>
      <c r="F68" s="45"/>
      <c r="G68" s="45"/>
      <c r="H68" s="45"/>
      <c r="I68" s="46"/>
    </row>
    <row r="69" spans="1:9" ht="18">
      <c r="A69" s="83" t="s">
        <v>135</v>
      </c>
      <c r="B69" s="68"/>
      <c r="C69" s="115"/>
      <c r="D69" s="100"/>
      <c r="E69" s="84">
        <v>1080</v>
      </c>
      <c r="F69" s="85">
        <v>1080</v>
      </c>
      <c r="G69" s="85">
        <v>1080</v>
      </c>
      <c r="H69" s="85">
        <v>696.1540625</v>
      </c>
      <c r="I69" s="85">
        <v>696.1540625</v>
      </c>
    </row>
    <row r="70" spans="1:9" ht="18">
      <c r="A70" s="114" t="s">
        <v>136</v>
      </c>
      <c r="B70" s="68"/>
      <c r="C70" s="115"/>
      <c r="D70" s="100"/>
      <c r="E70" s="115">
        <v>0</v>
      </c>
      <c r="F70" s="115">
        <v>0</v>
      </c>
      <c r="G70" s="115">
        <v>0</v>
      </c>
      <c r="H70" s="115">
        <v>696.1540625</v>
      </c>
      <c r="I70" s="73">
        <v>696.1540625</v>
      </c>
    </row>
    <row r="71" spans="1:9" ht="18">
      <c r="A71" s="114" t="s">
        <v>137</v>
      </c>
      <c r="B71" s="68"/>
      <c r="C71" s="115"/>
      <c r="D71" s="100"/>
      <c r="E71" s="74">
        <v>1080</v>
      </c>
      <c r="F71" s="74">
        <v>1080</v>
      </c>
      <c r="G71" s="74">
        <v>1080</v>
      </c>
      <c r="H71" s="74">
        <v>0</v>
      </c>
      <c r="I71" s="75">
        <v>0</v>
      </c>
    </row>
    <row r="72" spans="1:9" ht="18">
      <c r="A72" s="114" t="s">
        <v>138</v>
      </c>
      <c r="B72" s="68"/>
      <c r="C72" s="115"/>
      <c r="D72" s="100"/>
      <c r="E72" s="115">
        <f>E70*$C109</f>
        <v>0</v>
      </c>
      <c r="F72" s="115">
        <f>F70*$C109</f>
        <v>0</v>
      </c>
      <c r="G72" s="115">
        <f>G70*$C109</f>
        <v>0</v>
      </c>
      <c r="H72" s="115">
        <f>H70*$C109</f>
        <v>279.9338541351962</v>
      </c>
      <c r="I72" s="73">
        <f>I70*$C109</f>
        <v>279.9338541351962</v>
      </c>
    </row>
    <row r="73" spans="1:9" ht="18">
      <c r="A73" s="114" t="s">
        <v>139</v>
      </c>
      <c r="B73" s="68"/>
      <c r="C73" s="115"/>
      <c r="D73" s="100"/>
      <c r="E73" s="115">
        <f>E71*$C108</f>
        <v>221.83793967664323</v>
      </c>
      <c r="F73" s="115">
        <f>F71*$C108</f>
        <v>221.83793967664323</v>
      </c>
      <c r="G73" s="115">
        <f>G71*$C108</f>
        <v>221.83793967664323</v>
      </c>
      <c r="H73" s="115">
        <f>H71*$C108</f>
        <v>0</v>
      </c>
      <c r="I73" s="73">
        <f>I71*$C108</f>
        <v>0</v>
      </c>
    </row>
    <row r="74" spans="1:9" ht="18">
      <c r="A74" s="86" t="s">
        <v>140</v>
      </c>
      <c r="B74" s="47"/>
      <c r="C74" s="74"/>
      <c r="D74" s="53"/>
      <c r="E74" s="48">
        <f>SUM(E72:E73)</f>
        <v>221.83793967664323</v>
      </c>
      <c r="F74" s="49">
        <f>SUM(F72:F73)</f>
        <v>221.83793967664323</v>
      </c>
      <c r="G74" s="49">
        <f>SUM(G72:G73)</f>
        <v>221.83793967664323</v>
      </c>
      <c r="H74" s="49">
        <f>SUM(H72:H73)</f>
        <v>279.9338541351962</v>
      </c>
      <c r="I74" s="49">
        <f>SUM(I72:I73)</f>
        <v>279.9338541351962</v>
      </c>
    </row>
    <row r="75" spans="1:9" ht="18">
      <c r="A75" s="100"/>
      <c r="B75" s="98"/>
      <c r="C75" s="88"/>
      <c r="D75" s="100"/>
      <c r="E75" s="89" t="s">
        <v>99</v>
      </c>
      <c r="F75" s="90">
        <f>AVERAGE(E69:I69)</f>
        <v>926.4616249999999</v>
      </c>
      <c r="G75" s="91" t="s">
        <v>100</v>
      </c>
      <c r="H75" s="92"/>
      <c r="I75" s="62">
        <f>AVERAGE(E74:I74)</f>
        <v>245.07630546006445</v>
      </c>
    </row>
    <row r="76" spans="1:9" ht="18.75">
      <c r="A76" s="105" t="s">
        <v>141</v>
      </c>
      <c r="B76" s="98"/>
      <c r="C76" s="99"/>
      <c r="D76" s="100"/>
      <c r="E76" s="56"/>
      <c r="F76" s="56"/>
      <c r="G76" s="56"/>
      <c r="H76" s="56"/>
      <c r="I76" s="41"/>
    </row>
    <row r="77" spans="1:9" ht="18">
      <c r="A77" s="63" t="s">
        <v>142</v>
      </c>
      <c r="B77" s="107"/>
      <c r="C77" s="64">
        <f>'Model GDF 1'!C77</f>
        <v>54.05375</v>
      </c>
      <c r="D77" s="109"/>
      <c r="E77" s="17">
        <f>$E$23</f>
        <v>3.25</v>
      </c>
      <c r="F77" s="17">
        <f>$E$23</f>
        <v>3.25</v>
      </c>
      <c r="G77" s="17">
        <f>$E$23</f>
        <v>3.25</v>
      </c>
      <c r="H77" s="17">
        <f>$E$23</f>
        <v>3.25</v>
      </c>
      <c r="I77" s="18">
        <f>$E$23</f>
        <v>3.25</v>
      </c>
    </row>
    <row r="78" spans="1:9" ht="18">
      <c r="A78" s="42" t="s">
        <v>143</v>
      </c>
      <c r="B78" s="117"/>
      <c r="C78" s="26"/>
      <c r="D78" s="81"/>
      <c r="E78" s="43"/>
      <c r="F78" s="43"/>
      <c r="G78" s="43"/>
      <c r="H78" s="43"/>
      <c r="I78" s="44"/>
    </row>
    <row r="79" spans="1:9" ht="18">
      <c r="A79" s="114"/>
      <c r="B79" s="68"/>
      <c r="C79" s="112"/>
      <c r="D79" s="100"/>
      <c r="E79" s="45"/>
      <c r="F79" s="45"/>
      <c r="G79" s="45"/>
      <c r="H79" s="45"/>
      <c r="I79" s="46"/>
    </row>
    <row r="80" spans="1:9" ht="18">
      <c r="A80" s="83" t="s">
        <v>144</v>
      </c>
      <c r="B80" s="68"/>
      <c r="C80" s="112"/>
      <c r="D80" s="100"/>
      <c r="E80" s="84">
        <v>175.6746875</v>
      </c>
      <c r="F80" s="85">
        <v>175.6746875</v>
      </c>
      <c r="G80" s="85">
        <v>175.6746875</v>
      </c>
      <c r="H80" s="85">
        <v>175.6746875</v>
      </c>
      <c r="I80" s="85">
        <v>175.6746875</v>
      </c>
    </row>
    <row r="81" spans="1:9" ht="18">
      <c r="A81" s="86" t="s">
        <v>145</v>
      </c>
      <c r="B81" s="47"/>
      <c r="C81" s="27"/>
      <c r="D81" s="53"/>
      <c r="E81" s="48">
        <f>E80*$C109</f>
        <v>70.64139246601204</v>
      </c>
      <c r="F81" s="49">
        <f>F80*$C109</f>
        <v>70.64139246601204</v>
      </c>
      <c r="G81" s="49">
        <f>G80*$C109</f>
        <v>70.64139246601204</v>
      </c>
      <c r="H81" s="49">
        <f>H80*$C109</f>
        <v>70.64139246601204</v>
      </c>
      <c r="I81" s="49">
        <f>I80*$C109</f>
        <v>70.64139246601204</v>
      </c>
    </row>
    <row r="82" spans="1:9" ht="18">
      <c r="A82" s="100"/>
      <c r="B82" s="98"/>
      <c r="C82" s="88"/>
      <c r="D82" s="100"/>
      <c r="E82" s="89" t="s">
        <v>99</v>
      </c>
      <c r="F82" s="90">
        <f>AVERAGE(E80:I80)</f>
        <v>175.6746875</v>
      </c>
      <c r="G82" s="91" t="s">
        <v>100</v>
      </c>
      <c r="H82" s="92"/>
      <c r="I82" s="62">
        <f>AVERAGE(E81:I81)</f>
        <v>70.64139246601204</v>
      </c>
    </row>
    <row r="83" spans="1:9" ht="18.75">
      <c r="A83" s="105" t="s">
        <v>146</v>
      </c>
      <c r="B83" s="98"/>
      <c r="C83" s="99"/>
      <c r="D83" s="100"/>
      <c r="E83" s="56"/>
      <c r="F83" s="56"/>
      <c r="G83" s="56"/>
      <c r="H83" s="56"/>
      <c r="I83" s="56"/>
    </row>
    <row r="84" spans="1:9" ht="18">
      <c r="A84" s="63" t="s">
        <v>142</v>
      </c>
      <c r="B84" s="107"/>
      <c r="C84" s="64">
        <f>'Model GDF 1'!C84</f>
        <v>54.05375</v>
      </c>
      <c r="D84" s="109"/>
      <c r="E84" s="17">
        <f>$E$23</f>
        <v>3.25</v>
      </c>
      <c r="F84" s="17">
        <f>$E$23</f>
        <v>3.25</v>
      </c>
      <c r="G84" s="17">
        <f>$E$23</f>
        <v>3.25</v>
      </c>
      <c r="H84" s="17">
        <f>$E$23</f>
        <v>3.25</v>
      </c>
      <c r="I84" s="18">
        <f>$E$23</f>
        <v>3.25</v>
      </c>
    </row>
    <row r="85" spans="1:9" ht="18">
      <c r="A85" s="42" t="s">
        <v>143</v>
      </c>
      <c r="B85" s="117"/>
      <c r="C85" s="26"/>
      <c r="D85" s="81"/>
      <c r="E85" s="43"/>
      <c r="F85" s="43"/>
      <c r="G85" s="43"/>
      <c r="H85" s="43"/>
      <c r="I85" s="44"/>
    </row>
    <row r="86" spans="1:9" ht="18">
      <c r="A86" s="114"/>
      <c r="B86" s="98"/>
      <c r="C86" s="115"/>
      <c r="D86" s="100"/>
      <c r="E86" s="56"/>
      <c r="F86" s="56"/>
      <c r="G86" s="56"/>
      <c r="H86" s="56"/>
      <c r="I86" s="57"/>
    </row>
    <row r="87" spans="1:9" ht="18">
      <c r="A87" s="83" t="s">
        <v>147</v>
      </c>
      <c r="B87" s="68"/>
      <c r="C87" s="115"/>
      <c r="D87" s="100"/>
      <c r="E87" s="84">
        <v>175.6746875</v>
      </c>
      <c r="F87" s="85">
        <v>175.6746875</v>
      </c>
      <c r="G87" s="85">
        <v>175.6746875</v>
      </c>
      <c r="H87" s="85">
        <v>175.6746875</v>
      </c>
      <c r="I87" s="85">
        <v>175.6746875</v>
      </c>
    </row>
    <row r="88" spans="1:9" ht="18">
      <c r="A88" s="86" t="s">
        <v>148</v>
      </c>
      <c r="B88" s="52"/>
      <c r="C88" s="74"/>
      <c r="D88" s="53"/>
      <c r="E88" s="48">
        <f>E87*$C109</f>
        <v>70.64139246601204</v>
      </c>
      <c r="F88" s="49">
        <f>F87*$C109</f>
        <v>70.64139246601204</v>
      </c>
      <c r="G88" s="49">
        <f>G87*$C109</f>
        <v>70.64139246601204</v>
      </c>
      <c r="H88" s="49">
        <f>H87*$C109</f>
        <v>70.64139246601204</v>
      </c>
      <c r="I88" s="49">
        <f>I87*$C109</f>
        <v>70.64139246601204</v>
      </c>
    </row>
    <row r="89" spans="1:9" ht="18">
      <c r="A89" s="100"/>
      <c r="B89" s="68"/>
      <c r="C89" s="88"/>
      <c r="D89" s="100"/>
      <c r="E89" s="89" t="s">
        <v>99</v>
      </c>
      <c r="F89" s="90">
        <f>AVERAGE(E87:I87)</f>
        <v>175.6746875</v>
      </c>
      <c r="G89" s="91" t="s">
        <v>100</v>
      </c>
      <c r="H89" s="92"/>
      <c r="I89" s="62">
        <f>AVERAGE(E88:I88)</f>
        <v>70.64139246601204</v>
      </c>
    </row>
    <row r="90" spans="1:9" ht="18.75">
      <c r="A90" s="105" t="s">
        <v>149</v>
      </c>
      <c r="B90" s="98"/>
      <c r="C90" s="99"/>
      <c r="D90" s="100"/>
      <c r="E90" s="56"/>
      <c r="F90" s="56"/>
      <c r="G90" s="56"/>
      <c r="H90" s="56"/>
      <c r="I90" s="56"/>
    </row>
    <row r="91" spans="1:9" ht="18">
      <c r="A91" s="106" t="s">
        <v>128</v>
      </c>
      <c r="B91" s="107"/>
      <c r="C91" s="108"/>
      <c r="D91" s="109"/>
      <c r="E91" s="24"/>
      <c r="F91" s="24"/>
      <c r="G91" s="24"/>
      <c r="H91" s="24"/>
      <c r="I91" s="25"/>
    </row>
    <row r="92" spans="1:9" ht="18">
      <c r="A92" s="111" t="s">
        <v>150</v>
      </c>
      <c r="B92" s="98"/>
      <c r="C92" s="112">
        <f>'Model GDF 1'!C92</f>
        <v>191.5</v>
      </c>
      <c r="D92" s="100"/>
      <c r="E92" s="56">
        <v>2.5</v>
      </c>
      <c r="F92" s="56">
        <v>2.5</v>
      </c>
      <c r="G92" s="56">
        <v>2.5</v>
      </c>
      <c r="H92" s="56">
        <v>2.5</v>
      </c>
      <c r="I92" s="57">
        <v>2.5</v>
      </c>
    </row>
    <row r="93" spans="1:9" ht="18">
      <c r="A93" s="111" t="s">
        <v>151</v>
      </c>
      <c r="B93" s="98"/>
      <c r="C93" s="112">
        <f>'Model GDF 1'!C93</f>
        <v>245</v>
      </c>
      <c r="D93" s="100"/>
      <c r="E93" s="56">
        <f>$E$63</f>
        <v>3</v>
      </c>
      <c r="F93" s="56">
        <f>$E$63</f>
        <v>3</v>
      </c>
      <c r="G93" s="56">
        <f>$E$63</f>
        <v>3</v>
      </c>
      <c r="H93" s="56">
        <f>$E$63</f>
        <v>3</v>
      </c>
      <c r="I93" s="57">
        <f>$E$63</f>
        <v>3</v>
      </c>
    </row>
    <row r="94" spans="1:9" ht="18">
      <c r="A94" s="111" t="s">
        <v>152</v>
      </c>
      <c r="B94" s="98"/>
      <c r="C94" s="112">
        <f>'Model GDF 1'!C94</f>
        <v>1196.6666666666667</v>
      </c>
      <c r="D94" s="100"/>
      <c r="E94" s="56">
        <v>1</v>
      </c>
      <c r="F94" s="56">
        <v>1</v>
      </c>
      <c r="G94" s="56">
        <v>1</v>
      </c>
      <c r="H94" s="56">
        <v>1</v>
      </c>
      <c r="I94" s="57">
        <v>1</v>
      </c>
    </row>
    <row r="95" spans="1:9" ht="18">
      <c r="A95" s="111" t="s">
        <v>95</v>
      </c>
      <c r="B95" s="98"/>
      <c r="C95" s="112"/>
      <c r="D95" s="100"/>
      <c r="E95" s="56"/>
      <c r="F95" s="56"/>
      <c r="G95" s="56"/>
      <c r="H95" s="56"/>
      <c r="I95" s="57"/>
    </row>
    <row r="96" spans="1:9" ht="18">
      <c r="A96" s="42" t="s">
        <v>153</v>
      </c>
      <c r="B96" s="117"/>
      <c r="C96" s="112">
        <f>'Model GDF 1'!C96</f>
        <v>1280</v>
      </c>
      <c r="D96" s="81"/>
      <c r="E96" s="41">
        <f>1*(E63/2)</f>
        <v>1.5</v>
      </c>
      <c r="F96" s="43">
        <f>$E$96</f>
        <v>1.5</v>
      </c>
      <c r="G96" s="43">
        <f>$E$96</f>
        <v>1.5</v>
      </c>
      <c r="H96" s="43">
        <f>$E$96</f>
        <v>1.5</v>
      </c>
      <c r="I96" s="44">
        <f>$E$96</f>
        <v>1.5</v>
      </c>
    </row>
    <row r="97" spans="1:9" ht="18">
      <c r="A97" s="114"/>
      <c r="B97" s="98"/>
      <c r="C97" s="115"/>
      <c r="D97" s="100"/>
      <c r="E97" s="68"/>
      <c r="F97" s="68"/>
      <c r="G97" s="68"/>
      <c r="H97" s="68"/>
      <c r="I97" s="28"/>
    </row>
    <row r="98" spans="1:9" ht="18">
      <c r="A98" s="83" t="s">
        <v>154</v>
      </c>
      <c r="B98" s="98"/>
      <c r="C98" s="115"/>
      <c r="D98" s="100"/>
      <c r="E98" s="84">
        <v>4330.416666666667</v>
      </c>
      <c r="F98" s="85">
        <v>4330.416666666667</v>
      </c>
      <c r="G98" s="85">
        <v>4330.416666666667</v>
      </c>
      <c r="H98" s="85">
        <v>4330.416666666667</v>
      </c>
      <c r="I98" s="85">
        <v>4330.416666666667</v>
      </c>
    </row>
    <row r="99" spans="1:9" ht="18">
      <c r="A99" s="86" t="s">
        <v>155</v>
      </c>
      <c r="B99" s="52"/>
      <c r="C99" s="74"/>
      <c r="D99" s="53"/>
      <c r="E99" s="48">
        <f>E98*$C107</f>
        <v>704.755370422476</v>
      </c>
      <c r="F99" s="49">
        <f>F98*$C107</f>
        <v>704.755370422476</v>
      </c>
      <c r="G99" s="49">
        <f>G98*$C107</f>
        <v>704.755370422476</v>
      </c>
      <c r="H99" s="49">
        <f>H98*$C107</f>
        <v>704.755370422476</v>
      </c>
      <c r="I99" s="49">
        <f>I98*$C107</f>
        <v>704.755370422476</v>
      </c>
    </row>
    <row r="100" spans="1:9" ht="18">
      <c r="A100" s="100"/>
      <c r="B100" s="98"/>
      <c r="C100" s="115"/>
      <c r="D100" s="100"/>
      <c r="E100" s="89" t="s">
        <v>99</v>
      </c>
      <c r="F100" s="90">
        <f>AVERAGE(E98:I98)</f>
        <v>4330.416666666667</v>
      </c>
      <c r="G100" s="91" t="s">
        <v>100</v>
      </c>
      <c r="H100" s="92"/>
      <c r="I100" s="62">
        <f>AVERAGE(E99:I99)</f>
        <v>704.755370422476</v>
      </c>
    </row>
    <row r="101" spans="1:9" ht="18">
      <c r="A101" s="29"/>
      <c r="B101" s="103"/>
      <c r="C101" s="30"/>
      <c r="D101" s="29"/>
      <c r="E101" s="31"/>
      <c r="F101" s="31"/>
      <c r="G101" s="31"/>
      <c r="H101" s="31"/>
      <c r="I101" s="31"/>
    </row>
    <row r="102" spans="2:9" ht="18">
      <c r="B102" s="98"/>
      <c r="C102" s="99"/>
      <c r="D102" s="100"/>
      <c r="E102" s="98"/>
      <c r="F102" s="98"/>
      <c r="G102" s="98"/>
      <c r="H102" s="98"/>
      <c r="I102" s="98"/>
    </row>
    <row r="103" spans="1:9" ht="18">
      <c r="A103" s="32" t="s">
        <v>156</v>
      </c>
      <c r="B103" s="98"/>
      <c r="C103" s="88"/>
      <c r="D103" s="100"/>
      <c r="E103" s="84">
        <f>SUM(E18,E49,E69,E80,E87,E98)</f>
        <v>20320.071041666666</v>
      </c>
      <c r="F103" s="85">
        <f>SUM(F18,F49,F69,F80,F87,F98)</f>
        <v>20320.071041666666</v>
      </c>
      <c r="G103" s="85">
        <f>SUM(G18,G49,G69,G80,G87,G98)</f>
        <v>20911.116041666664</v>
      </c>
      <c r="H103" s="85">
        <f>SUM(H18,H49,H69,H80,H87,H98)</f>
        <v>19657.155104166668</v>
      </c>
      <c r="I103" s="33">
        <f>SUM(I18,I49,I69,I80,I87,I98)</f>
        <v>20462.572604166668</v>
      </c>
    </row>
    <row r="104" spans="1:9" ht="18">
      <c r="A104" s="32" t="s">
        <v>157</v>
      </c>
      <c r="B104" s="98"/>
      <c r="C104" s="88"/>
      <c r="D104" s="100"/>
      <c r="E104" s="84">
        <f>SUM(E19,E56,E74,E81,E88,E99)</f>
        <v>3856.901974565753</v>
      </c>
      <c r="F104" s="85">
        <f>SUM(F19,F56,F74,F81,F88,F99)</f>
        <v>3856.901974565753</v>
      </c>
      <c r="G104" s="85">
        <f>SUM(G19,G56,G74,G81,G88,G99)</f>
        <v>4012.042005532651</v>
      </c>
      <c r="H104" s="85">
        <f>SUM(H19,H56,H74,H81,H88,H99)</f>
        <v>3839.266377546183</v>
      </c>
      <c r="I104" s="33">
        <f>SUM(I19,I56,I74,I81,I88,I99)</f>
        <v>3963.526400242905</v>
      </c>
    </row>
    <row r="105" spans="2:9" ht="18">
      <c r="B105" s="98"/>
      <c r="C105" s="99"/>
      <c r="D105" s="100"/>
      <c r="E105" s="98"/>
      <c r="F105" s="98"/>
      <c r="G105" s="98"/>
      <c r="H105" s="98"/>
      <c r="I105" s="98"/>
    </row>
    <row r="106" spans="1:9" ht="18">
      <c r="A106" s="97" t="s">
        <v>158</v>
      </c>
      <c r="B106" s="98"/>
      <c r="C106" s="99"/>
      <c r="D106" s="100"/>
      <c r="E106" s="98"/>
      <c r="F106" s="98"/>
      <c r="G106" s="98"/>
      <c r="H106" s="98"/>
      <c r="I106" s="98"/>
    </row>
    <row r="107" spans="1:9" ht="18">
      <c r="A107" s="97" t="s">
        <v>159</v>
      </c>
      <c r="B107" s="98"/>
      <c r="C107" s="34">
        <f>(0.1*(1+0.1)^10)/((1+0.1)^10-1)</f>
        <v>0.16274539488251152</v>
      </c>
      <c r="D107" s="100"/>
      <c r="E107" s="98"/>
      <c r="F107" s="35" t="s">
        <v>160</v>
      </c>
      <c r="G107" s="36"/>
      <c r="H107" s="37"/>
      <c r="I107" s="38">
        <f>AVERAGE(E103:I103)</f>
        <v>20334.197166666665</v>
      </c>
    </row>
    <row r="108" spans="1:9" ht="18">
      <c r="A108" s="97" t="s">
        <v>161</v>
      </c>
      <c r="B108" s="98"/>
      <c r="C108" s="34">
        <f>(0.1*(1+0.1)^7)/((1+0.1)^7-1)</f>
        <v>0.20540549970059557</v>
      </c>
      <c r="D108" s="100"/>
      <c r="E108" s="98"/>
      <c r="F108" s="35" t="s">
        <v>162</v>
      </c>
      <c r="G108" s="36"/>
      <c r="H108" s="37"/>
      <c r="I108" s="38">
        <f>AVERAGE(E104:I104)</f>
        <v>3905.7277464906488</v>
      </c>
    </row>
    <row r="109" spans="1:9" ht="18">
      <c r="A109" s="97" t="s">
        <v>163</v>
      </c>
      <c r="B109" s="98"/>
      <c r="C109" s="34">
        <f>(0.1*(1+0.1)^3)/((1+0.1)^3-1)</f>
        <v>0.4021148036253774</v>
      </c>
      <c r="D109" s="100"/>
      <c r="E109" s="98"/>
      <c r="F109" s="98"/>
      <c r="G109" s="98"/>
      <c r="H109" s="98"/>
      <c r="I109" s="98"/>
    </row>
    <row r="110" spans="1:9" ht="18">
      <c r="A110" s="97" t="s">
        <v>164</v>
      </c>
      <c r="B110" s="98"/>
      <c r="C110" s="99"/>
      <c r="D110" s="100"/>
      <c r="E110" s="98"/>
      <c r="F110" s="98"/>
      <c r="G110" s="98"/>
      <c r="H110" s="98"/>
      <c r="I110" s="98"/>
    </row>
  </sheetData>
  <printOptions/>
  <pageMargins left="0.46" right="0.26" top="0.92" bottom="0.4" header="0.3" footer="0.21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0"/>
  <sheetViews>
    <sheetView zoomScale="75" zoomScaleNormal="75" workbookViewId="0" topLeftCell="A90">
      <selection activeCell="A90" sqref="A90:I110"/>
    </sheetView>
  </sheetViews>
  <sheetFormatPr defaultColWidth="9.140625" defaultRowHeight="12.75"/>
  <cols>
    <col min="1" max="1" width="57.00390625" style="97" customWidth="1"/>
    <col min="2" max="2" width="6.140625" style="97" customWidth="1"/>
    <col min="3" max="3" width="11.57421875" style="97" customWidth="1"/>
    <col min="4" max="4" width="2.00390625" style="97" customWidth="1"/>
    <col min="5" max="5" width="12.57421875" style="97" customWidth="1"/>
    <col min="6" max="6" width="11.7109375" style="97" customWidth="1"/>
    <col min="7" max="7" width="11.8515625" style="97" customWidth="1"/>
    <col min="8" max="8" width="12.140625" style="97" customWidth="1"/>
    <col min="9" max="9" width="12.28125" style="97" customWidth="1"/>
    <col min="10" max="16384" width="9.140625" style="97" customWidth="1"/>
  </cols>
  <sheetData>
    <row r="1" spans="2:9" ht="18">
      <c r="B1" s="98"/>
      <c r="C1" s="99"/>
      <c r="D1" s="100"/>
      <c r="E1" s="98"/>
      <c r="F1" s="98"/>
      <c r="G1" s="98"/>
      <c r="H1" s="98"/>
      <c r="I1" s="98"/>
    </row>
    <row r="2" spans="1:9" ht="18">
      <c r="A2" s="94" t="s">
        <v>166</v>
      </c>
      <c r="B2" s="94"/>
      <c r="C2" s="39"/>
      <c r="D2" s="95"/>
      <c r="E2" s="96"/>
      <c r="F2" s="96"/>
      <c r="G2" s="96"/>
      <c r="H2" s="96"/>
      <c r="I2" s="96"/>
    </row>
    <row r="3" spans="2:9" ht="18">
      <c r="B3" s="98"/>
      <c r="C3" s="99"/>
      <c r="D3" s="100"/>
      <c r="E3" s="98"/>
      <c r="F3" s="98"/>
      <c r="G3" s="98"/>
      <c r="H3" s="98"/>
      <c r="I3" s="98"/>
    </row>
    <row r="4" spans="2:9" ht="18">
      <c r="B4" s="98"/>
      <c r="C4" s="99" t="s">
        <v>80</v>
      </c>
      <c r="D4" s="100"/>
      <c r="E4" s="101" t="s">
        <v>81</v>
      </c>
      <c r="F4" s="101"/>
      <c r="G4" s="101"/>
      <c r="H4" s="101"/>
      <c r="I4" s="101"/>
    </row>
    <row r="5" spans="1:9" ht="18">
      <c r="A5" s="103" t="s">
        <v>82</v>
      </c>
      <c r="B5" s="103"/>
      <c r="C5" s="104" t="s">
        <v>83</v>
      </c>
      <c r="D5" s="100"/>
      <c r="E5" s="103" t="s">
        <v>84</v>
      </c>
      <c r="F5" s="103" t="s">
        <v>85</v>
      </c>
      <c r="G5" s="103" t="s">
        <v>86</v>
      </c>
      <c r="H5" s="103" t="s">
        <v>87</v>
      </c>
      <c r="I5" s="103" t="s">
        <v>88</v>
      </c>
    </row>
    <row r="6" spans="1:9" ht="18.75">
      <c r="A6" s="105" t="s">
        <v>89</v>
      </c>
      <c r="B6" s="98"/>
      <c r="C6" s="99"/>
      <c r="D6" s="100"/>
      <c r="E6" s="98"/>
      <c r="F6" s="98"/>
      <c r="G6" s="98"/>
      <c r="H6" s="98"/>
      <c r="I6" s="98"/>
    </row>
    <row r="7" spans="1:9" ht="18">
      <c r="A7" s="106" t="s">
        <v>90</v>
      </c>
      <c r="B7" s="107"/>
      <c r="C7" s="108"/>
      <c r="D7" s="109"/>
      <c r="E7" s="107"/>
      <c r="F7" s="107"/>
      <c r="G7" s="107"/>
      <c r="H7" s="107"/>
      <c r="I7" s="110"/>
    </row>
    <row r="8" spans="1:9" ht="18">
      <c r="A8" s="111" t="s">
        <v>91</v>
      </c>
      <c r="B8" s="98"/>
      <c r="C8" s="112">
        <f>'Model GDF 2'!C8</f>
        <v>65</v>
      </c>
      <c r="D8" s="100"/>
      <c r="E8" s="98">
        <f>Summary!$F$13</f>
        <v>2.5</v>
      </c>
      <c r="F8" s="98">
        <f>$E$8</f>
        <v>2.5</v>
      </c>
      <c r="G8" s="98">
        <f>F8</f>
        <v>2.5</v>
      </c>
      <c r="H8" s="98">
        <f>G8</f>
        <v>2.5</v>
      </c>
      <c r="I8" s="113">
        <f>$E$8</f>
        <v>2.5</v>
      </c>
    </row>
    <row r="9" spans="1:9" ht="18">
      <c r="A9" s="111" t="s">
        <v>92</v>
      </c>
      <c r="B9" s="98"/>
      <c r="C9" s="112">
        <f>'Model GDF 2'!C9</f>
        <v>351</v>
      </c>
      <c r="D9" s="100"/>
      <c r="E9" s="98">
        <f>$E$8</f>
        <v>2.5</v>
      </c>
      <c r="F9" s="98">
        <f>$E$8</f>
        <v>2.5</v>
      </c>
      <c r="G9" s="98">
        <f aca="true" t="shared" si="0" ref="G9:H11">$E$8</f>
        <v>2.5</v>
      </c>
      <c r="H9" s="98">
        <f t="shared" si="0"/>
        <v>2.5</v>
      </c>
      <c r="I9" s="113">
        <f>$E$8</f>
        <v>2.5</v>
      </c>
    </row>
    <row r="10" spans="1:9" ht="18">
      <c r="A10" s="111" t="s">
        <v>93</v>
      </c>
      <c r="B10" s="98"/>
      <c r="C10" s="112">
        <f>'Model GDF 2'!C10</f>
        <v>178</v>
      </c>
      <c r="D10" s="100"/>
      <c r="E10" s="98">
        <f>$E$8</f>
        <v>2.5</v>
      </c>
      <c r="F10" s="98">
        <f>$E$8</f>
        <v>2.5</v>
      </c>
      <c r="G10" s="98">
        <f t="shared" si="0"/>
        <v>2.5</v>
      </c>
      <c r="H10" s="98">
        <f t="shared" si="0"/>
        <v>2.5</v>
      </c>
      <c r="I10" s="113">
        <f>$E$8</f>
        <v>2.5</v>
      </c>
    </row>
    <row r="11" spans="1:9" ht="18">
      <c r="A11" s="114" t="s">
        <v>94</v>
      </c>
      <c r="B11" s="98"/>
      <c r="C11" s="112">
        <f>'Model GDF 2'!C11</f>
        <v>55</v>
      </c>
      <c r="D11" s="100"/>
      <c r="E11" s="98">
        <f>$E$8</f>
        <v>2.5</v>
      </c>
      <c r="F11" s="98">
        <f>$E$8</f>
        <v>2.5</v>
      </c>
      <c r="G11" s="98">
        <f t="shared" si="0"/>
        <v>2.5</v>
      </c>
      <c r="H11" s="98">
        <f t="shared" si="0"/>
        <v>2.5</v>
      </c>
      <c r="I11" s="113">
        <f>$E$8</f>
        <v>2.5</v>
      </c>
    </row>
    <row r="12" spans="1:9" ht="18">
      <c r="A12" s="114" t="s">
        <v>95</v>
      </c>
      <c r="B12" s="98"/>
      <c r="C12" s="115"/>
      <c r="D12" s="100"/>
      <c r="E12" s="98"/>
      <c r="F12" s="98"/>
      <c r="G12" s="98"/>
      <c r="H12" s="98"/>
      <c r="I12" s="113"/>
    </row>
    <row r="13" spans="1:9" ht="18">
      <c r="A13" s="111" t="s">
        <v>96</v>
      </c>
      <c r="B13" s="98"/>
      <c r="C13" s="112">
        <f>'Model GDF 2'!C13</f>
        <v>80</v>
      </c>
      <c r="D13" s="100"/>
      <c r="E13" s="98">
        <f aca="true" t="shared" si="1" ref="E13:I16">$E$8</f>
        <v>2.5</v>
      </c>
      <c r="F13" s="98">
        <f t="shared" si="1"/>
        <v>2.5</v>
      </c>
      <c r="G13" s="98">
        <f t="shared" si="1"/>
        <v>2.5</v>
      </c>
      <c r="H13" s="98">
        <f t="shared" si="1"/>
        <v>2.5</v>
      </c>
      <c r="I13" s="113">
        <f t="shared" si="1"/>
        <v>2.5</v>
      </c>
    </row>
    <row r="14" spans="1:9" ht="18">
      <c r="A14" s="111" t="s">
        <v>92</v>
      </c>
      <c r="B14" s="98"/>
      <c r="C14" s="112">
        <f>'Model GDF 2'!C14</f>
        <v>160</v>
      </c>
      <c r="D14" s="100"/>
      <c r="E14" s="98">
        <f t="shared" si="1"/>
        <v>2.5</v>
      </c>
      <c r="F14" s="98">
        <f t="shared" si="1"/>
        <v>2.5</v>
      </c>
      <c r="G14" s="98">
        <f t="shared" si="1"/>
        <v>2.5</v>
      </c>
      <c r="H14" s="98">
        <f t="shared" si="1"/>
        <v>2.5</v>
      </c>
      <c r="I14" s="113">
        <f t="shared" si="1"/>
        <v>2.5</v>
      </c>
    </row>
    <row r="15" spans="1:9" ht="18">
      <c r="A15" s="111" t="s">
        <v>93</v>
      </c>
      <c r="B15" s="98"/>
      <c r="C15" s="112">
        <f>'Model GDF 2'!C15</f>
        <v>160</v>
      </c>
      <c r="D15" s="100"/>
      <c r="E15" s="98">
        <f t="shared" si="1"/>
        <v>2.5</v>
      </c>
      <c r="F15" s="98">
        <f t="shared" si="1"/>
        <v>2.5</v>
      </c>
      <c r="G15" s="98">
        <f t="shared" si="1"/>
        <v>2.5</v>
      </c>
      <c r="H15" s="98">
        <f t="shared" si="1"/>
        <v>2.5</v>
      </c>
      <c r="I15" s="113">
        <f t="shared" si="1"/>
        <v>2.5</v>
      </c>
    </row>
    <row r="16" spans="1:9" ht="18">
      <c r="A16" s="116" t="s">
        <v>94</v>
      </c>
      <c r="B16" s="117"/>
      <c r="C16" s="112">
        <f>'Model GDF 2'!C16</f>
        <v>80</v>
      </c>
      <c r="D16" s="119"/>
      <c r="E16" s="98">
        <f t="shared" si="1"/>
        <v>2.5</v>
      </c>
      <c r="F16" s="98">
        <f t="shared" si="1"/>
        <v>2.5</v>
      </c>
      <c r="G16" s="98">
        <f t="shared" si="1"/>
        <v>2.5</v>
      </c>
      <c r="H16" s="98">
        <f t="shared" si="1"/>
        <v>2.5</v>
      </c>
      <c r="I16" s="113">
        <f t="shared" si="1"/>
        <v>2.5</v>
      </c>
    </row>
    <row r="17" spans="1:9" ht="18">
      <c r="A17" s="116"/>
      <c r="B17" s="80"/>
      <c r="C17" s="118"/>
      <c r="D17" s="81"/>
      <c r="E17" s="80"/>
      <c r="F17" s="80"/>
      <c r="G17" s="80"/>
      <c r="H17" s="80"/>
      <c r="I17" s="82"/>
    </row>
    <row r="18" spans="1:9" ht="18">
      <c r="A18" s="83" t="s">
        <v>97</v>
      </c>
      <c r="E18" s="84">
        <v>2822.5</v>
      </c>
      <c r="F18" s="85">
        <v>2822.5</v>
      </c>
      <c r="G18" s="85">
        <v>2822.5</v>
      </c>
      <c r="H18" s="85">
        <v>2822.5</v>
      </c>
      <c r="I18" s="85">
        <v>2822.5</v>
      </c>
    </row>
    <row r="19" spans="1:9" ht="18">
      <c r="A19" s="86" t="s">
        <v>98</v>
      </c>
      <c r="B19" s="87"/>
      <c r="C19" s="87"/>
      <c r="D19" s="87"/>
      <c r="E19" s="48">
        <f>E18*$C$108</f>
        <v>579.757022904931</v>
      </c>
      <c r="F19" s="49">
        <f>F18*$C$108</f>
        <v>579.757022904931</v>
      </c>
      <c r="G19" s="49">
        <f>G18*$C$108</f>
        <v>579.757022904931</v>
      </c>
      <c r="H19" s="49">
        <f>H18*$C$108</f>
        <v>579.757022904931</v>
      </c>
      <c r="I19" s="49">
        <f>I18*$C$108</f>
        <v>579.757022904931</v>
      </c>
    </row>
    <row r="20" spans="1:9" ht="18">
      <c r="A20" s="111"/>
      <c r="B20" s="98"/>
      <c r="C20" s="115"/>
      <c r="D20" s="100"/>
      <c r="E20" s="89" t="s">
        <v>99</v>
      </c>
      <c r="F20" s="90">
        <f>AVERAGE(E18:I18)</f>
        <v>2822.5</v>
      </c>
      <c r="G20" s="91" t="s">
        <v>100</v>
      </c>
      <c r="H20" s="92"/>
      <c r="I20" s="62">
        <f>AVERAGE(E19:I19)</f>
        <v>579.757022904931</v>
      </c>
    </row>
    <row r="21" spans="1:9" ht="18.75">
      <c r="A21" s="105" t="s">
        <v>101</v>
      </c>
      <c r="B21" s="98"/>
      <c r="C21" s="112"/>
      <c r="D21" s="100"/>
      <c r="E21" s="98"/>
      <c r="F21" s="98"/>
      <c r="G21" s="98"/>
      <c r="H21" s="98"/>
      <c r="I21" s="98"/>
    </row>
    <row r="22" spans="1:9" ht="18">
      <c r="A22" s="63" t="s">
        <v>102</v>
      </c>
      <c r="B22" s="107"/>
      <c r="C22" s="64"/>
      <c r="D22" s="109"/>
      <c r="E22" s="107"/>
      <c r="F22" s="107"/>
      <c r="G22" s="107"/>
      <c r="H22" s="107"/>
      <c r="I22" s="110"/>
    </row>
    <row r="23" spans="1:9" ht="18">
      <c r="A23" s="114" t="s">
        <v>103</v>
      </c>
      <c r="B23" s="98"/>
      <c r="C23" s="112">
        <f>'Model GDF 2'!C23</f>
        <v>200</v>
      </c>
      <c r="D23" s="100"/>
      <c r="E23" s="65">
        <f>Summary!$F$14</f>
        <v>6.5</v>
      </c>
      <c r="F23" s="66">
        <f>$E$23</f>
        <v>6.5</v>
      </c>
      <c r="G23" s="66"/>
      <c r="H23" s="66"/>
      <c r="I23" s="67"/>
    </row>
    <row r="24" spans="1:9" ht="18">
      <c r="A24" s="114" t="s">
        <v>104</v>
      </c>
      <c r="B24" s="98"/>
      <c r="C24" s="112">
        <f>'Model GDF 2'!C24</f>
        <v>231.25</v>
      </c>
      <c r="D24" s="100"/>
      <c r="E24" s="66"/>
      <c r="F24" s="66"/>
      <c r="G24" s="66">
        <f>$E$23</f>
        <v>6.5</v>
      </c>
      <c r="H24" s="66"/>
      <c r="I24" s="67"/>
    </row>
    <row r="25" spans="1:9" ht="18">
      <c r="A25" s="114" t="s">
        <v>105</v>
      </c>
      <c r="B25" s="98"/>
      <c r="C25" s="112">
        <f>'Model GDF 2'!C25</f>
        <v>208.83</v>
      </c>
      <c r="D25" s="100"/>
      <c r="E25" s="66"/>
      <c r="F25" s="66"/>
      <c r="G25" s="66"/>
      <c r="H25" s="66">
        <f>$E$23</f>
        <v>6.5</v>
      </c>
      <c r="I25" s="67"/>
    </row>
    <row r="26" spans="1:9" ht="18">
      <c r="A26" s="114" t="s">
        <v>106</v>
      </c>
      <c r="B26" s="98"/>
      <c r="C26" s="112">
        <f>'Model GDF 2'!C26</f>
        <v>224.78</v>
      </c>
      <c r="D26" s="100"/>
      <c r="E26" s="66"/>
      <c r="F26" s="66"/>
      <c r="G26" s="66"/>
      <c r="H26" s="66"/>
      <c r="I26" s="67">
        <f>$E$23</f>
        <v>6.5</v>
      </c>
    </row>
    <row r="27" spans="1:9" ht="18">
      <c r="A27" s="114" t="s">
        <v>107</v>
      </c>
      <c r="B27" s="98"/>
      <c r="C27" s="112">
        <f>'Model GDF 2'!C27</f>
        <v>381.82</v>
      </c>
      <c r="D27" s="100"/>
      <c r="E27" s="66">
        <f>E$23</f>
        <v>6.5</v>
      </c>
      <c r="F27" s="66">
        <f>F$23</f>
        <v>6.5</v>
      </c>
      <c r="G27" s="66"/>
      <c r="H27" s="66"/>
      <c r="I27" s="67"/>
    </row>
    <row r="28" spans="1:9" ht="18">
      <c r="A28" s="114" t="s">
        <v>108</v>
      </c>
      <c r="B28" s="98"/>
      <c r="C28" s="112">
        <f>'Model GDF 2'!C28</f>
        <v>467.87</v>
      </c>
      <c r="D28" s="100"/>
      <c r="E28" s="66"/>
      <c r="F28" s="66"/>
      <c r="G28" s="66">
        <f>G$24</f>
        <v>6.5</v>
      </c>
      <c r="H28" s="66"/>
      <c r="I28" s="67"/>
    </row>
    <row r="29" spans="1:9" ht="18">
      <c r="A29" s="114" t="s">
        <v>109</v>
      </c>
      <c r="B29" s="98"/>
      <c r="C29" s="112">
        <f>'Model GDF 2'!C29</f>
        <v>400.11</v>
      </c>
      <c r="D29" s="100"/>
      <c r="E29" s="66"/>
      <c r="F29" s="66"/>
      <c r="G29" s="66"/>
      <c r="H29" s="66">
        <f>H$25</f>
        <v>6.5</v>
      </c>
      <c r="I29" s="67"/>
    </row>
    <row r="30" spans="1:9" ht="18">
      <c r="A30" s="114" t="s">
        <v>110</v>
      </c>
      <c r="B30" s="98"/>
      <c r="C30" s="112">
        <f>'Model GDF 2'!C30</f>
        <v>220.49</v>
      </c>
      <c r="D30" s="100"/>
      <c r="E30" s="66"/>
      <c r="F30" s="66"/>
      <c r="G30" s="66"/>
      <c r="H30" s="66"/>
      <c r="I30" s="67">
        <f>I$26</f>
        <v>6.5</v>
      </c>
    </row>
    <row r="31" spans="1:9" ht="18">
      <c r="A31" s="114" t="s">
        <v>111</v>
      </c>
      <c r="B31" s="98"/>
      <c r="C31" s="115"/>
      <c r="D31" s="100"/>
      <c r="E31" s="66"/>
      <c r="F31" s="66"/>
      <c r="G31" s="66"/>
      <c r="H31" s="66"/>
      <c r="I31" s="67"/>
    </row>
    <row r="32" spans="1:9" ht="18">
      <c r="A32" s="114" t="s">
        <v>112</v>
      </c>
      <c r="B32" s="98"/>
      <c r="C32" s="112">
        <f>'Model GDF 2'!C32</f>
        <v>7500</v>
      </c>
      <c r="D32" s="100"/>
      <c r="E32" s="66"/>
      <c r="F32" s="66"/>
      <c r="G32" s="66"/>
      <c r="H32" s="66">
        <v>1</v>
      </c>
      <c r="I32" s="67"/>
    </row>
    <row r="33" spans="1:9" ht="18">
      <c r="A33" s="114" t="s">
        <v>113</v>
      </c>
      <c r="B33" s="98"/>
      <c r="C33" s="112">
        <f>'Model GDF 2'!C33</f>
        <v>9000</v>
      </c>
      <c r="D33" s="100"/>
      <c r="E33" s="66"/>
      <c r="F33" s="66"/>
      <c r="G33" s="66"/>
      <c r="H33" s="66"/>
      <c r="I33" s="67">
        <v>1</v>
      </c>
    </row>
    <row r="34" spans="1:9" ht="18">
      <c r="A34" s="111" t="s">
        <v>114</v>
      </c>
      <c r="B34" s="98"/>
      <c r="C34" s="112"/>
      <c r="D34" s="100"/>
      <c r="E34" s="66"/>
      <c r="F34" s="66"/>
      <c r="G34" s="66"/>
      <c r="H34" s="66"/>
      <c r="I34" s="67"/>
    </row>
    <row r="35" spans="1:9" ht="18">
      <c r="A35" s="111" t="s">
        <v>115</v>
      </c>
      <c r="B35" s="98"/>
      <c r="C35" s="112">
        <f>'Model GDF 2'!C35</f>
        <v>7500</v>
      </c>
      <c r="D35" s="100"/>
      <c r="E35" s="66">
        <v>1</v>
      </c>
      <c r="F35" s="66">
        <v>1</v>
      </c>
      <c r="G35" s="66">
        <v>1</v>
      </c>
      <c r="H35" s="66"/>
      <c r="I35" s="67"/>
    </row>
    <row r="36" spans="1:9" ht="18">
      <c r="A36" s="114" t="s">
        <v>95</v>
      </c>
      <c r="B36" s="98"/>
      <c r="C36" s="112"/>
      <c r="D36" s="100"/>
      <c r="E36" s="66"/>
      <c r="F36" s="66"/>
      <c r="G36" s="66"/>
      <c r="H36" s="66"/>
      <c r="I36" s="67"/>
    </row>
    <row r="37" spans="1:9" ht="18">
      <c r="A37" s="114" t="s">
        <v>103</v>
      </c>
      <c r="B37" s="98"/>
      <c r="C37" s="112">
        <f>'Model GDF 2'!C37</f>
        <v>86.04</v>
      </c>
      <c r="D37" s="100"/>
      <c r="E37" s="66">
        <f>E$23</f>
        <v>6.5</v>
      </c>
      <c r="F37" s="66">
        <f>F$23</f>
        <v>6.5</v>
      </c>
      <c r="G37" s="66"/>
      <c r="H37" s="66"/>
      <c r="I37" s="67"/>
    </row>
    <row r="38" spans="1:9" ht="18">
      <c r="A38" s="114" t="s">
        <v>104</v>
      </c>
      <c r="B38" s="98"/>
      <c r="C38" s="112">
        <f>'Model GDF 2'!C38</f>
        <v>107.56</v>
      </c>
      <c r="D38" s="100"/>
      <c r="E38" s="66"/>
      <c r="F38" s="66"/>
      <c r="G38" s="66">
        <f>G$24</f>
        <v>6.5</v>
      </c>
      <c r="H38" s="66"/>
      <c r="I38" s="67"/>
    </row>
    <row r="39" spans="1:9" ht="18">
      <c r="A39" s="114" t="s">
        <v>105</v>
      </c>
      <c r="B39" s="98"/>
      <c r="C39" s="112">
        <f>'Model GDF 2'!C39</f>
        <v>48.4</v>
      </c>
      <c r="D39" s="100"/>
      <c r="E39" s="66"/>
      <c r="F39" s="66"/>
      <c r="G39" s="66"/>
      <c r="H39" s="66">
        <f>H$25</f>
        <v>6.5</v>
      </c>
      <c r="I39" s="67"/>
    </row>
    <row r="40" spans="1:9" ht="18">
      <c r="A40" s="114" t="s">
        <v>106</v>
      </c>
      <c r="B40" s="98"/>
      <c r="C40" s="112">
        <f>'Model GDF 2'!C40</f>
        <v>53.78</v>
      </c>
      <c r="D40" s="100"/>
      <c r="E40" s="66"/>
      <c r="F40" s="66"/>
      <c r="G40" s="66"/>
      <c r="H40" s="66"/>
      <c r="I40" s="67">
        <f>I$26</f>
        <v>6.5</v>
      </c>
    </row>
    <row r="41" spans="1:9" ht="18">
      <c r="A41" s="114" t="s">
        <v>107</v>
      </c>
      <c r="B41" s="68"/>
      <c r="C41" s="112">
        <f>'Model GDF 2'!C41</f>
        <v>172.08</v>
      </c>
      <c r="D41" s="100"/>
      <c r="E41" s="66">
        <f>E$23</f>
        <v>6.5</v>
      </c>
      <c r="F41" s="66">
        <f>F$23</f>
        <v>6.5</v>
      </c>
      <c r="G41" s="66"/>
      <c r="H41" s="66"/>
      <c r="I41" s="67"/>
    </row>
    <row r="42" spans="1:9" ht="18">
      <c r="A42" s="114" t="s">
        <v>108</v>
      </c>
      <c r="B42" s="68"/>
      <c r="C42" s="112">
        <f>'Model GDF 2'!C42</f>
        <v>215.12</v>
      </c>
      <c r="D42" s="100"/>
      <c r="E42" s="66"/>
      <c r="F42" s="66"/>
      <c r="G42" s="66">
        <f>G$24</f>
        <v>6.5</v>
      </c>
      <c r="H42" s="66"/>
      <c r="I42" s="67"/>
    </row>
    <row r="43" spans="1:9" ht="18">
      <c r="A43" s="114" t="s">
        <v>109</v>
      </c>
      <c r="B43" s="68"/>
      <c r="C43" s="112">
        <f>'Model GDF 2'!C43</f>
        <v>96.8</v>
      </c>
      <c r="D43" s="100"/>
      <c r="E43" s="66"/>
      <c r="F43" s="66"/>
      <c r="G43" s="66"/>
      <c r="H43" s="66">
        <f>H$25</f>
        <v>6.5</v>
      </c>
      <c r="I43" s="67"/>
    </row>
    <row r="44" spans="1:9" ht="18">
      <c r="A44" s="114" t="s">
        <v>110</v>
      </c>
      <c r="B44" s="68"/>
      <c r="C44" s="112">
        <f>'Model GDF 2'!C44</f>
        <v>107.56</v>
      </c>
      <c r="D44" s="100"/>
      <c r="E44" s="66"/>
      <c r="F44" s="66"/>
      <c r="G44" s="66"/>
      <c r="H44" s="66"/>
      <c r="I44" s="67">
        <f>I$26</f>
        <v>6.5</v>
      </c>
    </row>
    <row r="45" spans="1:9" ht="18">
      <c r="A45" s="114" t="s">
        <v>116</v>
      </c>
      <c r="B45" s="98"/>
      <c r="C45" s="112">
        <f>'Model GDF 2'!C45</f>
        <v>1505.78</v>
      </c>
      <c r="D45" s="100"/>
      <c r="E45" s="66"/>
      <c r="F45" s="66"/>
      <c r="G45" s="66"/>
      <c r="H45" s="66">
        <v>1</v>
      </c>
      <c r="I45" s="67"/>
    </row>
    <row r="46" spans="1:9" ht="18">
      <c r="A46" s="114" t="s">
        <v>117</v>
      </c>
      <c r="B46" s="98"/>
      <c r="C46" s="112">
        <f>'Model GDF 2'!C46</f>
        <v>1290.67</v>
      </c>
      <c r="D46" s="100"/>
      <c r="E46" s="66"/>
      <c r="F46" s="66"/>
      <c r="G46" s="66"/>
      <c r="H46" s="66"/>
      <c r="I46" s="67">
        <v>1</v>
      </c>
    </row>
    <row r="47" spans="1:9" ht="18">
      <c r="A47" s="116" t="s">
        <v>118</v>
      </c>
      <c r="B47" s="117"/>
      <c r="C47" s="112">
        <f>'Model GDF 2'!C47</f>
        <v>1506</v>
      </c>
      <c r="D47" s="81"/>
      <c r="E47" s="69">
        <v>1</v>
      </c>
      <c r="F47" s="69">
        <v>1</v>
      </c>
      <c r="G47" s="69">
        <v>1</v>
      </c>
      <c r="H47" s="69"/>
      <c r="I47" s="70"/>
    </row>
    <row r="48" spans="1:9" ht="18">
      <c r="A48" s="114"/>
      <c r="B48" s="68"/>
      <c r="C48" s="115"/>
      <c r="D48" s="100"/>
      <c r="E48" s="71"/>
      <c r="F48" s="71"/>
      <c r="G48" s="71"/>
      <c r="H48" s="71"/>
      <c r="I48" s="72"/>
    </row>
    <row r="49" spans="1:9" ht="18">
      <c r="A49" s="83" t="s">
        <v>119</v>
      </c>
      <c r="B49" s="68"/>
      <c r="C49" s="115"/>
      <c r="D49" s="100"/>
      <c r="E49" s="84">
        <v>14465.61</v>
      </c>
      <c r="F49" s="85">
        <v>14465.61</v>
      </c>
      <c r="G49" s="85">
        <v>15647.7</v>
      </c>
      <c r="H49" s="85">
        <v>13907.69</v>
      </c>
      <c r="I49" s="85">
        <v>14233.635</v>
      </c>
    </row>
    <row r="50" spans="1:9" ht="18">
      <c r="A50" s="114" t="s">
        <v>120</v>
      </c>
      <c r="B50" s="68"/>
      <c r="C50" s="115"/>
      <c r="D50" s="100"/>
      <c r="E50" s="115">
        <v>1859.26</v>
      </c>
      <c r="F50" s="115">
        <v>1859.26</v>
      </c>
      <c r="G50" s="115">
        <v>2202.265</v>
      </c>
      <c r="H50" s="115">
        <v>1671.995</v>
      </c>
      <c r="I50" s="73">
        <v>1810.64</v>
      </c>
    </row>
    <row r="51" spans="1:9" ht="18">
      <c r="A51" s="114" t="s">
        <v>121</v>
      </c>
      <c r="B51" s="68"/>
      <c r="C51" s="115"/>
      <c r="D51" s="100"/>
      <c r="E51" s="115">
        <v>3600.35</v>
      </c>
      <c r="F51" s="115">
        <v>3600.35</v>
      </c>
      <c r="G51" s="115">
        <v>4439.435</v>
      </c>
      <c r="H51" s="115">
        <v>3229.915</v>
      </c>
      <c r="I51" s="73">
        <v>2132.325</v>
      </c>
    </row>
    <row r="52" spans="1:9" ht="18">
      <c r="A52" s="114" t="s">
        <v>122</v>
      </c>
      <c r="B52" s="68"/>
      <c r="C52" s="115"/>
      <c r="D52" s="100"/>
      <c r="E52" s="74">
        <f>E49-E50-E51</f>
        <v>9006</v>
      </c>
      <c r="F52" s="74">
        <f>F49-F50-F51</f>
        <v>9006</v>
      </c>
      <c r="G52" s="74">
        <f>G49-G50-G51</f>
        <v>9006</v>
      </c>
      <c r="H52" s="74">
        <f>H49-H50-H51</f>
        <v>9005.780000000002</v>
      </c>
      <c r="I52" s="75">
        <f>I49-I50-I51</f>
        <v>10290.670000000002</v>
      </c>
    </row>
    <row r="53" spans="1:9" ht="18">
      <c r="A53" s="114" t="s">
        <v>123</v>
      </c>
      <c r="B53" s="68"/>
      <c r="C53" s="115"/>
      <c r="D53" s="100"/>
      <c r="E53" s="115">
        <f>E50*$C$109</f>
        <v>747.6359697885191</v>
      </c>
      <c r="F53" s="115">
        <f>F50*$C$109</f>
        <v>747.6359697885191</v>
      </c>
      <c r="G53" s="115">
        <f>G50*$C$109</f>
        <v>885.5633580060417</v>
      </c>
      <c r="H53" s="115">
        <f>H50*$C$109</f>
        <v>672.3339410876129</v>
      </c>
      <c r="I53" s="73">
        <f>I50*$C$109</f>
        <v>728.0851480362533</v>
      </c>
    </row>
    <row r="54" spans="1:9" ht="18">
      <c r="A54" s="114" t="s">
        <v>124</v>
      </c>
      <c r="B54" s="68"/>
      <c r="C54" s="115"/>
      <c r="D54" s="100"/>
      <c r="E54" s="115">
        <f>E51*$C$108</f>
        <v>739.5316908470393</v>
      </c>
      <c r="F54" s="115">
        <f>F51*$C$108</f>
        <v>739.5316908470393</v>
      </c>
      <c r="G54" s="115">
        <f>G51*$C$108</f>
        <v>911.8843645633136</v>
      </c>
      <c r="H54" s="115">
        <f>H51*$C$108</f>
        <v>663.4423045654491</v>
      </c>
      <c r="I54" s="73">
        <f>I51*$C$108</f>
        <v>437.9912821490724</v>
      </c>
    </row>
    <row r="55" spans="1:9" ht="18">
      <c r="A55" s="114" t="s">
        <v>125</v>
      </c>
      <c r="B55" s="68"/>
      <c r="C55" s="115"/>
      <c r="D55" s="100"/>
      <c r="E55" s="76">
        <f>E52*$C$107</f>
        <v>1465.6850263118988</v>
      </c>
      <c r="F55" s="77">
        <f>F52*$C$107</f>
        <v>1465.6850263118988</v>
      </c>
      <c r="G55" s="77">
        <f>G52*$C$107</f>
        <v>1465.6850263118988</v>
      </c>
      <c r="H55" s="77">
        <f>H52*$C$107</f>
        <v>1465.649222325025</v>
      </c>
      <c r="I55" s="51">
        <f>I52*$C$107</f>
        <v>1674.759152755615</v>
      </c>
    </row>
    <row r="56" spans="1:9" ht="18">
      <c r="A56" s="86" t="s">
        <v>126</v>
      </c>
      <c r="B56" s="52"/>
      <c r="C56" s="74"/>
      <c r="D56" s="53"/>
      <c r="E56" s="54">
        <f>SUM(E53:E55)</f>
        <v>2952.852686947457</v>
      </c>
      <c r="F56" s="55">
        <f>SUM(F53:F55)</f>
        <v>2952.852686947457</v>
      </c>
      <c r="G56" s="55">
        <f>SUM(G53:G55)</f>
        <v>3263.132748881254</v>
      </c>
      <c r="H56" s="55">
        <f>SUM(H53:H55)</f>
        <v>2801.425467978087</v>
      </c>
      <c r="I56" s="55">
        <f>SUM(I53:I55)</f>
        <v>2840.8355829409406</v>
      </c>
    </row>
    <row r="57" spans="1:9" ht="18">
      <c r="A57" s="100"/>
      <c r="B57" s="68"/>
      <c r="C57" s="88"/>
      <c r="D57" s="100"/>
      <c r="E57" s="89" t="s">
        <v>99</v>
      </c>
      <c r="F57" s="90">
        <f>AVERAGE(E49:I49)</f>
        <v>14544.048999999999</v>
      </c>
      <c r="G57" s="91" t="s">
        <v>100</v>
      </c>
      <c r="H57" s="92"/>
      <c r="I57" s="62">
        <f>AVERAGE(E56:I56)</f>
        <v>2962.219834739039</v>
      </c>
    </row>
    <row r="58" spans="1:9" ht="18.75">
      <c r="A58" s="105" t="s">
        <v>127</v>
      </c>
      <c r="B58" s="98"/>
      <c r="C58" s="99"/>
      <c r="D58" s="100"/>
      <c r="E58" s="98"/>
      <c r="F58" s="98"/>
      <c r="G58" s="98"/>
      <c r="H58" s="98"/>
      <c r="I58" s="98"/>
    </row>
    <row r="59" spans="1:9" ht="18">
      <c r="A59" s="106" t="s">
        <v>128</v>
      </c>
      <c r="B59" s="107"/>
      <c r="C59" s="108"/>
      <c r="D59" s="109"/>
      <c r="E59" s="107"/>
      <c r="F59" s="107"/>
      <c r="G59" s="107"/>
      <c r="H59" s="107"/>
      <c r="I59" s="110"/>
    </row>
    <row r="60" spans="1:9" ht="18">
      <c r="A60" s="111" t="s">
        <v>129</v>
      </c>
      <c r="B60" s="98"/>
      <c r="C60" s="112">
        <f>'Model GDF 2'!C60</f>
        <v>54.20125</v>
      </c>
      <c r="D60" s="100"/>
      <c r="E60" s="56"/>
      <c r="F60" s="56"/>
      <c r="G60" s="56"/>
      <c r="H60" s="56">
        <f>$E$23</f>
        <v>6.5</v>
      </c>
      <c r="I60" s="57">
        <f>$E$23</f>
        <v>6.5</v>
      </c>
    </row>
    <row r="61" spans="1:9" ht="18">
      <c r="A61" s="114" t="s">
        <v>130</v>
      </c>
      <c r="B61" s="98"/>
      <c r="E61" s="58"/>
      <c r="F61" s="58"/>
      <c r="G61" s="58"/>
      <c r="H61" s="58"/>
      <c r="I61" s="59"/>
    </row>
    <row r="62" spans="1:9" ht="18">
      <c r="A62" s="114" t="s">
        <v>131</v>
      </c>
      <c r="B62" s="98"/>
      <c r="C62" s="115"/>
      <c r="D62" s="100"/>
      <c r="E62" s="56"/>
      <c r="F62" s="56"/>
      <c r="G62" s="56"/>
      <c r="H62" s="56"/>
      <c r="I62" s="57"/>
    </row>
    <row r="63" spans="1:9" ht="18">
      <c r="A63" s="111" t="s">
        <v>132</v>
      </c>
      <c r="B63" s="98"/>
      <c r="C63" s="112">
        <f>'Model GDF 2'!C63</f>
        <v>200</v>
      </c>
      <c r="D63" s="100"/>
      <c r="E63" s="41">
        <f>Summary!$F$15</f>
        <v>6</v>
      </c>
      <c r="F63" s="56">
        <f>$E$63</f>
        <v>6</v>
      </c>
      <c r="G63" s="56">
        <f>$E$63</f>
        <v>6</v>
      </c>
      <c r="H63" s="56"/>
      <c r="I63" s="57"/>
    </row>
    <row r="64" spans="1:9" ht="18">
      <c r="A64" s="111" t="s">
        <v>133</v>
      </c>
      <c r="B64" s="98"/>
      <c r="C64" s="112"/>
      <c r="D64" s="100"/>
      <c r="E64" s="56"/>
      <c r="F64" s="56"/>
      <c r="G64" s="56"/>
      <c r="H64" s="56"/>
      <c r="I64" s="57"/>
    </row>
    <row r="65" spans="1:9" ht="18">
      <c r="A65" s="114" t="s">
        <v>95</v>
      </c>
      <c r="B65" s="98"/>
      <c r="C65" s="115"/>
      <c r="D65" s="100"/>
      <c r="E65" s="56"/>
      <c r="F65" s="56"/>
      <c r="G65" s="56"/>
      <c r="H65" s="56"/>
      <c r="I65" s="57"/>
    </row>
    <row r="66" spans="1:9" ht="18">
      <c r="A66" s="111" t="s">
        <v>134</v>
      </c>
      <c r="B66" s="98"/>
      <c r="C66" s="112">
        <f>'Model GDF 2'!C66</f>
        <v>160</v>
      </c>
      <c r="D66" s="100"/>
      <c r="E66" s="56"/>
      <c r="F66" s="56"/>
      <c r="G66" s="56"/>
      <c r="H66" s="56">
        <f>$E$23</f>
        <v>6.5</v>
      </c>
      <c r="I66" s="57">
        <f>$E$23</f>
        <v>6.5</v>
      </c>
    </row>
    <row r="67" spans="1:9" ht="18">
      <c r="A67" s="42" t="s">
        <v>132</v>
      </c>
      <c r="B67" s="117"/>
      <c r="C67" s="112">
        <f>'Model GDF 2'!C67</f>
        <v>160</v>
      </c>
      <c r="D67" s="81"/>
      <c r="E67" s="56">
        <f>$E$63</f>
        <v>6</v>
      </c>
      <c r="F67" s="56">
        <f>$E$63</f>
        <v>6</v>
      </c>
      <c r="G67" s="56">
        <f>$E$63</f>
        <v>6</v>
      </c>
      <c r="H67" s="43"/>
      <c r="I67" s="44"/>
    </row>
    <row r="68" spans="1:9" ht="18">
      <c r="A68" s="114"/>
      <c r="B68" s="68"/>
      <c r="C68" s="115"/>
      <c r="D68" s="100"/>
      <c r="E68" s="45"/>
      <c r="F68" s="45"/>
      <c r="G68" s="45"/>
      <c r="H68" s="45"/>
      <c r="I68" s="46"/>
    </row>
    <row r="69" spans="1:9" ht="18">
      <c r="A69" s="83" t="s">
        <v>135</v>
      </c>
      <c r="B69" s="68"/>
      <c r="C69" s="115"/>
      <c r="D69" s="100"/>
      <c r="E69" s="84">
        <v>2160</v>
      </c>
      <c r="F69" s="85">
        <v>2160</v>
      </c>
      <c r="G69" s="85">
        <v>2160</v>
      </c>
      <c r="H69" s="85">
        <v>1392.308125</v>
      </c>
      <c r="I69" s="85">
        <v>1392.308125</v>
      </c>
    </row>
    <row r="70" spans="1:9" ht="18">
      <c r="A70" s="114" t="s">
        <v>136</v>
      </c>
      <c r="B70" s="68"/>
      <c r="C70" s="115"/>
      <c r="D70" s="100"/>
      <c r="E70" s="115">
        <v>0</v>
      </c>
      <c r="F70" s="115">
        <v>0</v>
      </c>
      <c r="G70" s="115">
        <v>0</v>
      </c>
      <c r="H70" s="115">
        <v>1392.308125</v>
      </c>
      <c r="I70" s="73">
        <v>1392.308125</v>
      </c>
    </row>
    <row r="71" spans="1:9" ht="18">
      <c r="A71" s="114" t="s">
        <v>137</v>
      </c>
      <c r="B71" s="68"/>
      <c r="C71" s="115"/>
      <c r="D71" s="100"/>
      <c r="E71" s="74">
        <v>2160</v>
      </c>
      <c r="F71" s="74">
        <v>2160</v>
      </c>
      <c r="G71" s="74">
        <v>2160</v>
      </c>
      <c r="H71" s="74">
        <v>0</v>
      </c>
      <c r="I71" s="75">
        <v>0</v>
      </c>
    </row>
    <row r="72" spans="1:9" ht="18">
      <c r="A72" s="114" t="s">
        <v>138</v>
      </c>
      <c r="B72" s="68"/>
      <c r="C72" s="115"/>
      <c r="D72" s="100"/>
      <c r="E72" s="115">
        <f>E70*$C109</f>
        <v>0</v>
      </c>
      <c r="F72" s="115">
        <f>F70*$C109</f>
        <v>0</v>
      </c>
      <c r="G72" s="115">
        <f>G70*$C109</f>
        <v>0</v>
      </c>
      <c r="H72" s="115">
        <f>H70*$C109</f>
        <v>559.8677082703924</v>
      </c>
      <c r="I72" s="73">
        <f>I70*$C109</f>
        <v>559.8677082703924</v>
      </c>
    </row>
    <row r="73" spans="1:9" ht="18">
      <c r="A73" s="114" t="s">
        <v>139</v>
      </c>
      <c r="B73" s="68"/>
      <c r="C73" s="115"/>
      <c r="D73" s="100"/>
      <c r="E73" s="115">
        <f>E71*$C108</f>
        <v>443.67587935328646</v>
      </c>
      <c r="F73" s="115">
        <f>F71*$C108</f>
        <v>443.67587935328646</v>
      </c>
      <c r="G73" s="115">
        <f>G71*$C108</f>
        <v>443.67587935328646</v>
      </c>
      <c r="H73" s="115">
        <f>H71*$C108</f>
        <v>0</v>
      </c>
      <c r="I73" s="73">
        <f>I71*$C108</f>
        <v>0</v>
      </c>
    </row>
    <row r="74" spans="1:9" ht="18">
      <c r="A74" s="86" t="s">
        <v>140</v>
      </c>
      <c r="B74" s="47"/>
      <c r="C74" s="74"/>
      <c r="D74" s="53"/>
      <c r="E74" s="48">
        <f>SUM(E72:E73)</f>
        <v>443.67587935328646</v>
      </c>
      <c r="F74" s="49">
        <f>SUM(F72:F73)</f>
        <v>443.67587935328646</v>
      </c>
      <c r="G74" s="49">
        <f>SUM(G72:G73)</f>
        <v>443.67587935328646</v>
      </c>
      <c r="H74" s="49">
        <f>SUM(H72:H73)</f>
        <v>559.8677082703924</v>
      </c>
      <c r="I74" s="49">
        <f>SUM(I72:I73)</f>
        <v>559.8677082703924</v>
      </c>
    </row>
    <row r="75" spans="1:9" ht="18">
      <c r="A75" s="100"/>
      <c r="B75" s="98"/>
      <c r="C75" s="88"/>
      <c r="D75" s="100"/>
      <c r="E75" s="89" t="s">
        <v>99</v>
      </c>
      <c r="F75" s="90">
        <f>AVERAGE(E69:I69)</f>
        <v>1852.9232499999998</v>
      </c>
      <c r="G75" s="91" t="s">
        <v>100</v>
      </c>
      <c r="H75" s="92"/>
      <c r="I75" s="62">
        <f>AVERAGE(E74:I74)</f>
        <v>490.1526109201289</v>
      </c>
    </row>
    <row r="76" spans="1:9" ht="18.75">
      <c r="A76" s="105" t="s">
        <v>141</v>
      </c>
      <c r="B76" s="98"/>
      <c r="C76" s="99"/>
      <c r="D76" s="100"/>
      <c r="E76" s="56"/>
      <c r="F76" s="56"/>
      <c r="G76" s="56"/>
      <c r="H76" s="56"/>
      <c r="I76" s="41"/>
    </row>
    <row r="77" spans="1:9" ht="18">
      <c r="A77" s="63" t="s">
        <v>142</v>
      </c>
      <c r="B77" s="107"/>
      <c r="C77" s="64">
        <f>'Model GDF 2'!C77</f>
        <v>54.05375</v>
      </c>
      <c r="D77" s="109"/>
      <c r="E77" s="24">
        <f>$E$23</f>
        <v>6.5</v>
      </c>
      <c r="F77" s="24">
        <f>$E$23</f>
        <v>6.5</v>
      </c>
      <c r="G77" s="24">
        <f>$E$23</f>
        <v>6.5</v>
      </c>
      <c r="H77" s="24">
        <f>$E$23</f>
        <v>6.5</v>
      </c>
      <c r="I77" s="25">
        <f>$E$23</f>
        <v>6.5</v>
      </c>
    </row>
    <row r="78" spans="1:9" ht="18">
      <c r="A78" s="42" t="s">
        <v>143</v>
      </c>
      <c r="B78" s="117"/>
      <c r="C78" s="26"/>
      <c r="D78" s="81"/>
      <c r="E78" s="43"/>
      <c r="F78" s="43"/>
      <c r="G78" s="43"/>
      <c r="H78" s="43"/>
      <c r="I78" s="44"/>
    </row>
    <row r="79" spans="1:9" ht="18">
      <c r="A79" s="114"/>
      <c r="B79" s="68"/>
      <c r="C79" s="112"/>
      <c r="D79" s="100"/>
      <c r="E79" s="45"/>
      <c r="F79" s="45"/>
      <c r="G79" s="45"/>
      <c r="H79" s="45"/>
      <c r="I79" s="46"/>
    </row>
    <row r="80" spans="1:9" ht="18">
      <c r="A80" s="83" t="s">
        <v>144</v>
      </c>
      <c r="B80" s="68"/>
      <c r="C80" s="112"/>
      <c r="D80" s="100"/>
      <c r="E80" s="84">
        <v>351.349375</v>
      </c>
      <c r="F80" s="85">
        <v>351.349375</v>
      </c>
      <c r="G80" s="85">
        <v>351.349375</v>
      </c>
      <c r="H80" s="85">
        <v>351.349375</v>
      </c>
      <c r="I80" s="85">
        <v>351.349375</v>
      </c>
    </row>
    <row r="81" spans="1:9" ht="18">
      <c r="A81" s="86" t="s">
        <v>145</v>
      </c>
      <c r="B81" s="47"/>
      <c r="C81" s="27"/>
      <c r="D81" s="53"/>
      <c r="E81" s="48">
        <f>E80*$C109</f>
        <v>141.28278493202407</v>
      </c>
      <c r="F81" s="49">
        <f>F80*$C109</f>
        <v>141.28278493202407</v>
      </c>
      <c r="G81" s="49">
        <f>G80*$C109</f>
        <v>141.28278493202407</v>
      </c>
      <c r="H81" s="49">
        <f>H80*$C109</f>
        <v>141.28278493202407</v>
      </c>
      <c r="I81" s="49">
        <f>I80*$C109</f>
        <v>141.28278493202407</v>
      </c>
    </row>
    <row r="82" spans="1:9" ht="18">
      <c r="A82" s="100"/>
      <c r="B82" s="98"/>
      <c r="C82" s="88"/>
      <c r="D82" s="100"/>
      <c r="E82" s="89" t="s">
        <v>99</v>
      </c>
      <c r="F82" s="90">
        <f>AVERAGE(E80:I80)</f>
        <v>351.349375</v>
      </c>
      <c r="G82" s="91" t="s">
        <v>100</v>
      </c>
      <c r="H82" s="92"/>
      <c r="I82" s="62">
        <f>AVERAGE(E81:I81)</f>
        <v>141.28278493202407</v>
      </c>
    </row>
    <row r="83" spans="1:9" ht="18.75">
      <c r="A83" s="105" t="s">
        <v>146</v>
      </c>
      <c r="B83" s="98"/>
      <c r="C83" s="99"/>
      <c r="D83" s="100"/>
      <c r="E83" s="56"/>
      <c r="F83" s="56"/>
      <c r="G83" s="56"/>
      <c r="H83" s="56"/>
      <c r="I83" s="56"/>
    </row>
    <row r="84" spans="1:9" ht="18">
      <c r="A84" s="63" t="s">
        <v>142</v>
      </c>
      <c r="B84" s="107"/>
      <c r="C84" s="64">
        <f>'Model GDF 2'!C84</f>
        <v>54.05375</v>
      </c>
      <c r="D84" s="109"/>
      <c r="E84" s="24">
        <f>$E$23</f>
        <v>6.5</v>
      </c>
      <c r="F84" s="24">
        <f>$E$23</f>
        <v>6.5</v>
      </c>
      <c r="G84" s="24">
        <f>$E$23</f>
        <v>6.5</v>
      </c>
      <c r="H84" s="24">
        <f>$E$23</f>
        <v>6.5</v>
      </c>
      <c r="I84" s="25">
        <f>$E$23</f>
        <v>6.5</v>
      </c>
    </row>
    <row r="85" spans="1:9" ht="18">
      <c r="A85" s="42" t="s">
        <v>143</v>
      </c>
      <c r="B85" s="117"/>
      <c r="C85" s="26"/>
      <c r="D85" s="81"/>
      <c r="E85" s="43"/>
      <c r="F85" s="43"/>
      <c r="G85" s="43"/>
      <c r="H85" s="43"/>
      <c r="I85" s="44"/>
    </row>
    <row r="86" spans="1:9" ht="18">
      <c r="A86" s="114"/>
      <c r="B86" s="98"/>
      <c r="C86" s="115"/>
      <c r="D86" s="100"/>
      <c r="E86" s="56"/>
      <c r="F86" s="56"/>
      <c r="G86" s="56"/>
      <c r="H86" s="56"/>
      <c r="I86" s="57"/>
    </row>
    <row r="87" spans="1:9" ht="18">
      <c r="A87" s="83" t="s">
        <v>147</v>
      </c>
      <c r="B87" s="68"/>
      <c r="C87" s="115"/>
      <c r="D87" s="100"/>
      <c r="E87" s="84">
        <v>351.349375</v>
      </c>
      <c r="F87" s="85">
        <v>351.349375</v>
      </c>
      <c r="G87" s="85">
        <v>351.349375</v>
      </c>
      <c r="H87" s="85">
        <v>351.349375</v>
      </c>
      <c r="I87" s="85">
        <v>351.349375</v>
      </c>
    </row>
    <row r="88" spans="1:9" ht="18">
      <c r="A88" s="86" t="s">
        <v>148</v>
      </c>
      <c r="B88" s="52"/>
      <c r="C88" s="74"/>
      <c r="D88" s="53"/>
      <c r="E88" s="48">
        <f>E87*$C109</f>
        <v>141.28278493202407</v>
      </c>
      <c r="F88" s="49">
        <f>F87*$C109</f>
        <v>141.28278493202407</v>
      </c>
      <c r="G88" s="49">
        <f>G87*$C109</f>
        <v>141.28278493202407</v>
      </c>
      <c r="H88" s="49">
        <f>H87*$C109</f>
        <v>141.28278493202407</v>
      </c>
      <c r="I88" s="49">
        <f>I87*$C109</f>
        <v>141.28278493202407</v>
      </c>
    </row>
    <row r="89" spans="1:9" ht="18">
      <c r="A89" s="100"/>
      <c r="B89" s="68"/>
      <c r="C89" s="88"/>
      <c r="D89" s="100"/>
      <c r="E89" s="89" t="s">
        <v>99</v>
      </c>
      <c r="F89" s="90">
        <f>AVERAGE(E87:I87)</f>
        <v>351.349375</v>
      </c>
      <c r="G89" s="91" t="s">
        <v>100</v>
      </c>
      <c r="H89" s="92"/>
      <c r="I89" s="62">
        <f>AVERAGE(E88:I88)</f>
        <v>141.28278493202407</v>
      </c>
    </row>
    <row r="90" spans="1:9" ht="18.75">
      <c r="A90" s="105" t="s">
        <v>149</v>
      </c>
      <c r="B90" s="98"/>
      <c r="C90" s="99"/>
      <c r="D90" s="100"/>
      <c r="E90" s="56"/>
      <c r="F90" s="56"/>
      <c r="G90" s="56"/>
      <c r="H90" s="56"/>
      <c r="I90" s="56"/>
    </row>
    <row r="91" spans="1:9" ht="18">
      <c r="A91" s="106" t="s">
        <v>128</v>
      </c>
      <c r="B91" s="107"/>
      <c r="C91" s="108"/>
      <c r="D91" s="109"/>
      <c r="E91" s="24"/>
      <c r="F91" s="24"/>
      <c r="G91" s="24"/>
      <c r="H91" s="24"/>
      <c r="I91" s="25"/>
    </row>
    <row r="92" spans="1:9" ht="18">
      <c r="A92" s="111" t="s">
        <v>150</v>
      </c>
      <c r="B92" s="98"/>
      <c r="C92" s="112">
        <f>'Model GDF 2'!C92</f>
        <v>191.5</v>
      </c>
      <c r="D92" s="100"/>
      <c r="E92" s="56">
        <v>2.5</v>
      </c>
      <c r="F92" s="56">
        <v>2.5</v>
      </c>
      <c r="G92" s="56">
        <v>2.5</v>
      </c>
      <c r="H92" s="56">
        <v>2.5</v>
      </c>
      <c r="I92" s="57">
        <v>2.5</v>
      </c>
    </row>
    <row r="93" spans="1:9" ht="18">
      <c r="A93" s="111" t="s">
        <v>151</v>
      </c>
      <c r="B93" s="98"/>
      <c r="C93" s="112">
        <f>'Model GDF 2'!C93</f>
        <v>245</v>
      </c>
      <c r="D93" s="100"/>
      <c r="E93" s="56">
        <f>$E$63</f>
        <v>6</v>
      </c>
      <c r="F93" s="56">
        <f>$E$63</f>
        <v>6</v>
      </c>
      <c r="G93" s="56">
        <f>$E$63</f>
        <v>6</v>
      </c>
      <c r="H93" s="56">
        <f>$E$63</f>
        <v>6</v>
      </c>
      <c r="I93" s="57">
        <f>$E$63</f>
        <v>6</v>
      </c>
    </row>
    <row r="94" spans="1:9" ht="18">
      <c r="A94" s="111" t="s">
        <v>152</v>
      </c>
      <c r="B94" s="98"/>
      <c r="C94" s="112">
        <f>'Model GDF 2'!C94</f>
        <v>1196.6666666666667</v>
      </c>
      <c r="D94" s="100"/>
      <c r="E94" s="56">
        <v>1</v>
      </c>
      <c r="F94" s="56">
        <v>1</v>
      </c>
      <c r="G94" s="56">
        <v>1</v>
      </c>
      <c r="H94" s="56">
        <v>1</v>
      </c>
      <c r="I94" s="57">
        <v>1</v>
      </c>
    </row>
    <row r="95" spans="1:9" ht="18">
      <c r="A95" s="111" t="s">
        <v>95</v>
      </c>
      <c r="B95" s="98"/>
      <c r="C95" s="112"/>
      <c r="D95" s="100"/>
      <c r="E95" s="56"/>
      <c r="F95" s="56"/>
      <c r="G95" s="56"/>
      <c r="H95" s="56"/>
      <c r="I95" s="57"/>
    </row>
    <row r="96" spans="1:9" ht="18">
      <c r="A96" s="42" t="s">
        <v>153</v>
      </c>
      <c r="B96" s="117"/>
      <c r="C96" s="112">
        <f>'Model GDF 2'!C96</f>
        <v>1280</v>
      </c>
      <c r="D96" s="81"/>
      <c r="E96" s="41">
        <f>1*(E63/2)</f>
        <v>3</v>
      </c>
      <c r="F96" s="43">
        <f>$E$96</f>
        <v>3</v>
      </c>
      <c r="G96" s="43">
        <f>$E$96</f>
        <v>3</v>
      </c>
      <c r="H96" s="43">
        <f>$E$96</f>
        <v>3</v>
      </c>
      <c r="I96" s="44">
        <f>$E$96</f>
        <v>3</v>
      </c>
    </row>
    <row r="97" spans="1:9" ht="18">
      <c r="A97" s="114"/>
      <c r="B97" s="98"/>
      <c r="C97" s="115"/>
      <c r="D97" s="100"/>
      <c r="E97" s="68"/>
      <c r="F97" s="68"/>
      <c r="G97" s="68"/>
      <c r="H97" s="68"/>
      <c r="I97" s="28"/>
    </row>
    <row r="98" spans="1:9" ht="18">
      <c r="A98" s="83" t="s">
        <v>154</v>
      </c>
      <c r="B98" s="98"/>
      <c r="C98" s="115"/>
      <c r="D98" s="100"/>
      <c r="E98" s="84">
        <v>6985.416666666667</v>
      </c>
      <c r="F98" s="85">
        <v>6985.416666666667</v>
      </c>
      <c r="G98" s="85">
        <v>6985.416666666667</v>
      </c>
      <c r="H98" s="85">
        <v>6985.416666666667</v>
      </c>
      <c r="I98" s="85">
        <v>6985.416666666667</v>
      </c>
    </row>
    <row r="99" spans="1:9" ht="18">
      <c r="A99" s="86" t="s">
        <v>155</v>
      </c>
      <c r="B99" s="52"/>
      <c r="C99" s="74"/>
      <c r="D99" s="53"/>
      <c r="E99" s="48">
        <f>E98*$C107</f>
        <v>1136.844393835544</v>
      </c>
      <c r="F99" s="49">
        <f>F98*$C107</f>
        <v>1136.844393835544</v>
      </c>
      <c r="G99" s="49">
        <f>G98*$C107</f>
        <v>1136.844393835544</v>
      </c>
      <c r="H99" s="49">
        <f>H98*$C107</f>
        <v>1136.844393835544</v>
      </c>
      <c r="I99" s="49">
        <f>I98*$C107</f>
        <v>1136.844393835544</v>
      </c>
    </row>
    <row r="100" spans="1:9" ht="18">
      <c r="A100" s="100"/>
      <c r="B100" s="98"/>
      <c r="C100" s="115"/>
      <c r="D100" s="100"/>
      <c r="E100" s="89" t="s">
        <v>99</v>
      </c>
      <c r="F100" s="90">
        <f>AVERAGE(E98:I98)</f>
        <v>6985.416666666667</v>
      </c>
      <c r="G100" s="91" t="s">
        <v>100</v>
      </c>
      <c r="H100" s="92"/>
      <c r="I100" s="62">
        <f>AVERAGE(E99:I99)</f>
        <v>1136.844393835544</v>
      </c>
    </row>
    <row r="101" spans="1:9" ht="18">
      <c r="A101" s="29"/>
      <c r="B101" s="103"/>
      <c r="C101" s="30"/>
      <c r="D101" s="29"/>
      <c r="E101" s="31"/>
      <c r="F101" s="31"/>
      <c r="G101" s="31"/>
      <c r="H101" s="31"/>
      <c r="I101" s="31"/>
    </row>
    <row r="102" spans="2:9" ht="18">
      <c r="B102" s="98"/>
      <c r="C102" s="99"/>
      <c r="D102" s="100"/>
      <c r="E102" s="98"/>
      <c r="F102" s="98"/>
      <c r="G102" s="98"/>
      <c r="H102" s="98"/>
      <c r="I102" s="98"/>
    </row>
    <row r="103" spans="1:9" ht="18">
      <c r="A103" s="32" t="s">
        <v>156</v>
      </c>
      <c r="B103" s="98"/>
      <c r="C103" s="88"/>
      <c r="D103" s="100"/>
      <c r="E103" s="84">
        <f>SUM(E18,E49,E69,E80,E87,E98)</f>
        <v>27136.225416666668</v>
      </c>
      <c r="F103" s="85">
        <f>SUM(F18,F49,F69,F80,F87,F98)</f>
        <v>27136.225416666668</v>
      </c>
      <c r="G103" s="85">
        <f>SUM(G18,G49,G69,G80,G87,G98)</f>
        <v>28318.315416666665</v>
      </c>
      <c r="H103" s="85">
        <f>SUM(H18,H49,H69,H80,H87,H98)</f>
        <v>25810.61354166667</v>
      </c>
      <c r="I103" s="33">
        <f>SUM(I18,I49,I69,I80,I87,I98)</f>
        <v>26136.558541666665</v>
      </c>
    </row>
    <row r="104" spans="1:9" ht="18">
      <c r="A104" s="32" t="s">
        <v>157</v>
      </c>
      <c r="B104" s="98"/>
      <c r="C104" s="88"/>
      <c r="D104" s="100"/>
      <c r="E104" s="84">
        <f>SUM(E19,E56,E74,E81,E88,E99)</f>
        <v>5395.695552905267</v>
      </c>
      <c r="F104" s="85">
        <f>SUM(F19,F56,F74,F81,F88,F99)</f>
        <v>5395.695552905267</v>
      </c>
      <c r="G104" s="85">
        <f>SUM(G19,G56,G74,G81,G88,G99)</f>
        <v>5705.975614839063</v>
      </c>
      <c r="H104" s="85">
        <f>SUM(H19,H56,H74,H81,H88,H99)</f>
        <v>5360.460162853002</v>
      </c>
      <c r="I104" s="33">
        <f>SUM(I19,I56,I74,I81,I88,I99)</f>
        <v>5399.870277815856</v>
      </c>
    </row>
    <row r="105" spans="2:9" ht="18">
      <c r="B105" s="98"/>
      <c r="C105" s="99"/>
      <c r="D105" s="100"/>
      <c r="E105" s="98"/>
      <c r="F105" s="98"/>
      <c r="G105" s="98"/>
      <c r="H105" s="98"/>
      <c r="I105" s="98"/>
    </row>
    <row r="106" spans="1:9" ht="18">
      <c r="A106" s="97" t="s">
        <v>158</v>
      </c>
      <c r="B106" s="98"/>
      <c r="C106" s="99"/>
      <c r="D106" s="100"/>
      <c r="E106" s="98"/>
      <c r="F106" s="98"/>
      <c r="G106" s="98"/>
      <c r="H106" s="98"/>
      <c r="I106" s="98"/>
    </row>
    <row r="107" spans="1:9" ht="18">
      <c r="A107" s="97" t="s">
        <v>159</v>
      </c>
      <c r="B107" s="98"/>
      <c r="C107" s="34">
        <f>(0.1*(1+0.1)^10)/((1+0.1)^10-1)</f>
        <v>0.16274539488251152</v>
      </c>
      <c r="D107" s="100"/>
      <c r="E107" s="98"/>
      <c r="F107" s="35" t="s">
        <v>160</v>
      </c>
      <c r="G107" s="36"/>
      <c r="H107" s="37"/>
      <c r="I107" s="38">
        <f>AVERAGE(E103:I103)</f>
        <v>26907.587666666666</v>
      </c>
    </row>
    <row r="108" spans="1:9" ht="18">
      <c r="A108" s="97" t="s">
        <v>161</v>
      </c>
      <c r="B108" s="98"/>
      <c r="C108" s="34">
        <f>(0.1*(1+0.1)^7)/((1+0.1)^7-1)</f>
        <v>0.20540549970059557</v>
      </c>
      <c r="D108" s="100"/>
      <c r="E108" s="98"/>
      <c r="F108" s="35" t="s">
        <v>162</v>
      </c>
      <c r="G108" s="36"/>
      <c r="H108" s="37"/>
      <c r="I108" s="38">
        <f>AVERAGE(E104:I104)</f>
        <v>5451.53943226369</v>
      </c>
    </row>
    <row r="109" spans="1:9" ht="18">
      <c r="A109" s="97" t="s">
        <v>163</v>
      </c>
      <c r="B109" s="98"/>
      <c r="C109" s="34">
        <f>(0.1*(1+0.1)^3)/((1+0.1)^3-1)</f>
        <v>0.4021148036253774</v>
      </c>
      <c r="D109" s="100"/>
      <c r="E109" s="98"/>
      <c r="F109" s="98"/>
      <c r="G109" s="98"/>
      <c r="H109" s="98"/>
      <c r="I109" s="98"/>
    </row>
    <row r="110" spans="1:9" ht="18">
      <c r="A110" s="97" t="s">
        <v>164</v>
      </c>
      <c r="B110" s="98"/>
      <c r="C110" s="99"/>
      <c r="D110" s="100"/>
      <c r="E110" s="98"/>
      <c r="F110" s="98"/>
      <c r="G110" s="98"/>
      <c r="H110" s="98"/>
      <c r="I110" s="98"/>
    </row>
  </sheetData>
  <printOptions/>
  <pageMargins left="0.37" right="0.47" top="0.87" bottom="0.23" header="0.17" footer="0.26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0"/>
  <sheetViews>
    <sheetView zoomScale="75" zoomScaleNormal="75" workbookViewId="0" topLeftCell="A106">
      <selection activeCell="A90" sqref="A90:I110"/>
    </sheetView>
  </sheetViews>
  <sheetFormatPr defaultColWidth="9.140625" defaultRowHeight="12.75"/>
  <cols>
    <col min="1" max="1" width="61.00390625" style="97" customWidth="1"/>
    <col min="2" max="2" width="2.57421875" style="97" customWidth="1"/>
    <col min="3" max="3" width="11.57421875" style="97" customWidth="1"/>
    <col min="4" max="4" width="2.57421875" style="97" customWidth="1"/>
    <col min="5" max="5" width="11.8515625" style="97" customWidth="1"/>
    <col min="6" max="6" width="12.7109375" style="97" customWidth="1"/>
    <col min="7" max="7" width="11.8515625" style="97" customWidth="1"/>
    <col min="8" max="8" width="12.57421875" style="97" customWidth="1"/>
    <col min="9" max="9" width="11.8515625" style="97" customWidth="1"/>
    <col min="10" max="16384" width="9.140625" style="97" customWidth="1"/>
  </cols>
  <sheetData>
    <row r="1" spans="2:9" ht="18">
      <c r="B1" s="98"/>
      <c r="C1" s="99"/>
      <c r="D1" s="100"/>
      <c r="E1" s="98"/>
      <c r="F1" s="98"/>
      <c r="G1" s="98"/>
      <c r="H1" s="98"/>
      <c r="I1" s="98"/>
    </row>
    <row r="2" spans="1:9" ht="18">
      <c r="A2" s="94" t="s">
        <v>167</v>
      </c>
      <c r="B2" s="94"/>
      <c r="C2" s="39"/>
      <c r="D2" s="95"/>
      <c r="E2" s="96"/>
      <c r="F2" s="96"/>
      <c r="G2" s="96"/>
      <c r="H2" s="96"/>
      <c r="I2" s="96"/>
    </row>
    <row r="3" spans="2:9" ht="18">
      <c r="B3" s="98"/>
      <c r="C3" s="99"/>
      <c r="D3" s="100"/>
      <c r="E3" s="98"/>
      <c r="F3" s="98"/>
      <c r="G3" s="98"/>
      <c r="H3" s="98"/>
      <c r="I3" s="98"/>
    </row>
    <row r="4" spans="2:9" ht="18">
      <c r="B4" s="98"/>
      <c r="C4" s="99" t="s">
        <v>80</v>
      </c>
      <c r="D4" s="100"/>
      <c r="E4" s="101" t="s">
        <v>81</v>
      </c>
      <c r="F4" s="101"/>
      <c r="G4" s="101"/>
      <c r="H4" s="101"/>
      <c r="I4" s="101"/>
    </row>
    <row r="5" spans="1:9" ht="18">
      <c r="A5" s="103" t="s">
        <v>82</v>
      </c>
      <c r="B5" s="103"/>
      <c r="C5" s="104" t="s">
        <v>83</v>
      </c>
      <c r="D5" s="100"/>
      <c r="E5" s="103" t="s">
        <v>84</v>
      </c>
      <c r="F5" s="103" t="s">
        <v>85</v>
      </c>
      <c r="G5" s="103" t="s">
        <v>86</v>
      </c>
      <c r="H5" s="103" t="s">
        <v>87</v>
      </c>
      <c r="I5" s="103" t="s">
        <v>88</v>
      </c>
    </row>
    <row r="6" spans="1:9" ht="18.75">
      <c r="A6" s="105" t="s">
        <v>89</v>
      </c>
      <c r="B6" s="98"/>
      <c r="C6" s="99"/>
      <c r="D6" s="100"/>
      <c r="E6" s="98"/>
      <c r="F6" s="98"/>
      <c r="G6" s="98"/>
      <c r="H6" s="98"/>
      <c r="I6" s="98"/>
    </row>
    <row r="7" spans="1:9" ht="18">
      <c r="A7" s="106" t="s">
        <v>90</v>
      </c>
      <c r="B7" s="107"/>
      <c r="C7" s="108"/>
      <c r="D7" s="109"/>
      <c r="E7" s="107"/>
      <c r="F7" s="107"/>
      <c r="G7" s="107"/>
      <c r="H7" s="107"/>
      <c r="I7" s="110"/>
    </row>
    <row r="8" spans="1:9" ht="18">
      <c r="A8" s="111" t="s">
        <v>91</v>
      </c>
      <c r="B8" s="98"/>
      <c r="C8" s="112">
        <f>'Model GDF 3'!C8</f>
        <v>65</v>
      </c>
      <c r="D8" s="100"/>
      <c r="E8" s="98">
        <f>Summary!$G$13</f>
        <v>2.5</v>
      </c>
      <c r="F8" s="98">
        <f>$E$8</f>
        <v>2.5</v>
      </c>
      <c r="G8" s="98">
        <f>F8</f>
        <v>2.5</v>
      </c>
      <c r="H8" s="98">
        <f>G8</f>
        <v>2.5</v>
      </c>
      <c r="I8" s="113">
        <f>$E$8</f>
        <v>2.5</v>
      </c>
    </row>
    <row r="9" spans="1:9" ht="18">
      <c r="A9" s="111" t="s">
        <v>92</v>
      </c>
      <c r="B9" s="98"/>
      <c r="C9" s="112">
        <f>'Model GDF 3'!C9</f>
        <v>351</v>
      </c>
      <c r="D9" s="100"/>
      <c r="E9" s="98">
        <f>$E$8</f>
        <v>2.5</v>
      </c>
      <c r="F9" s="98">
        <f>$E$8</f>
        <v>2.5</v>
      </c>
      <c r="G9" s="98">
        <f aca="true" t="shared" si="0" ref="G9:H11">$E$8</f>
        <v>2.5</v>
      </c>
      <c r="H9" s="98">
        <f t="shared" si="0"/>
        <v>2.5</v>
      </c>
      <c r="I9" s="113">
        <f>$E$8</f>
        <v>2.5</v>
      </c>
    </row>
    <row r="10" spans="1:9" ht="18">
      <c r="A10" s="111" t="s">
        <v>93</v>
      </c>
      <c r="B10" s="98"/>
      <c r="C10" s="112">
        <f>'Model GDF 3'!C10</f>
        <v>178</v>
      </c>
      <c r="D10" s="100"/>
      <c r="E10" s="98">
        <f>$E$8</f>
        <v>2.5</v>
      </c>
      <c r="F10" s="98">
        <f>$E$8</f>
        <v>2.5</v>
      </c>
      <c r="G10" s="98">
        <f t="shared" si="0"/>
        <v>2.5</v>
      </c>
      <c r="H10" s="98">
        <f t="shared" si="0"/>
        <v>2.5</v>
      </c>
      <c r="I10" s="113">
        <f>$E$8</f>
        <v>2.5</v>
      </c>
    </row>
    <row r="11" spans="1:9" ht="18">
      <c r="A11" s="114" t="s">
        <v>94</v>
      </c>
      <c r="B11" s="98"/>
      <c r="C11" s="112">
        <f>'Model GDF 3'!C11</f>
        <v>55</v>
      </c>
      <c r="D11" s="100"/>
      <c r="E11" s="98">
        <f>$E$8</f>
        <v>2.5</v>
      </c>
      <c r="F11" s="98">
        <f>$E$8</f>
        <v>2.5</v>
      </c>
      <c r="G11" s="98">
        <f t="shared" si="0"/>
        <v>2.5</v>
      </c>
      <c r="H11" s="98">
        <f t="shared" si="0"/>
        <v>2.5</v>
      </c>
      <c r="I11" s="113">
        <f>$E$8</f>
        <v>2.5</v>
      </c>
    </row>
    <row r="12" spans="1:9" ht="18">
      <c r="A12" s="114" t="s">
        <v>95</v>
      </c>
      <c r="B12" s="98"/>
      <c r="C12" s="115"/>
      <c r="D12" s="100"/>
      <c r="E12" s="98"/>
      <c r="F12" s="98"/>
      <c r="G12" s="98"/>
      <c r="H12" s="98"/>
      <c r="I12" s="113"/>
    </row>
    <row r="13" spans="1:9" ht="18">
      <c r="A13" s="111" t="s">
        <v>96</v>
      </c>
      <c r="B13" s="98"/>
      <c r="C13" s="112">
        <f>'Model GDF 3'!C13</f>
        <v>80</v>
      </c>
      <c r="D13" s="100"/>
      <c r="E13" s="98">
        <f aca="true" t="shared" si="1" ref="E13:I16">$E$8</f>
        <v>2.5</v>
      </c>
      <c r="F13" s="98">
        <f t="shared" si="1"/>
        <v>2.5</v>
      </c>
      <c r="G13" s="98">
        <f t="shared" si="1"/>
        <v>2.5</v>
      </c>
      <c r="H13" s="98">
        <f t="shared" si="1"/>
        <v>2.5</v>
      </c>
      <c r="I13" s="113">
        <f t="shared" si="1"/>
        <v>2.5</v>
      </c>
    </row>
    <row r="14" spans="1:9" ht="18">
      <c r="A14" s="111" t="s">
        <v>92</v>
      </c>
      <c r="B14" s="98"/>
      <c r="C14" s="112">
        <f>'Model GDF 3'!C14</f>
        <v>160</v>
      </c>
      <c r="D14" s="100"/>
      <c r="E14" s="98">
        <f t="shared" si="1"/>
        <v>2.5</v>
      </c>
      <c r="F14" s="98">
        <f t="shared" si="1"/>
        <v>2.5</v>
      </c>
      <c r="G14" s="98">
        <f t="shared" si="1"/>
        <v>2.5</v>
      </c>
      <c r="H14" s="98">
        <f t="shared" si="1"/>
        <v>2.5</v>
      </c>
      <c r="I14" s="113">
        <f t="shared" si="1"/>
        <v>2.5</v>
      </c>
    </row>
    <row r="15" spans="1:9" ht="18">
      <c r="A15" s="111" t="s">
        <v>93</v>
      </c>
      <c r="B15" s="98"/>
      <c r="C15" s="112">
        <f>'Model GDF 3'!C15</f>
        <v>160</v>
      </c>
      <c r="D15" s="100"/>
      <c r="E15" s="98">
        <f t="shared" si="1"/>
        <v>2.5</v>
      </c>
      <c r="F15" s="98">
        <f t="shared" si="1"/>
        <v>2.5</v>
      </c>
      <c r="G15" s="98">
        <f t="shared" si="1"/>
        <v>2.5</v>
      </c>
      <c r="H15" s="98">
        <f t="shared" si="1"/>
        <v>2.5</v>
      </c>
      <c r="I15" s="113">
        <f t="shared" si="1"/>
        <v>2.5</v>
      </c>
    </row>
    <row r="16" spans="1:9" ht="18">
      <c r="A16" s="116" t="s">
        <v>94</v>
      </c>
      <c r="B16" s="117"/>
      <c r="C16" s="112">
        <f>'Model GDF 3'!C16</f>
        <v>80</v>
      </c>
      <c r="D16" s="119"/>
      <c r="E16" s="98">
        <f t="shared" si="1"/>
        <v>2.5</v>
      </c>
      <c r="F16" s="98">
        <f t="shared" si="1"/>
        <v>2.5</v>
      </c>
      <c r="G16" s="98">
        <f t="shared" si="1"/>
        <v>2.5</v>
      </c>
      <c r="H16" s="98">
        <f t="shared" si="1"/>
        <v>2.5</v>
      </c>
      <c r="I16" s="113">
        <f t="shared" si="1"/>
        <v>2.5</v>
      </c>
    </row>
    <row r="17" spans="1:9" ht="18">
      <c r="A17" s="116"/>
      <c r="B17" s="80"/>
      <c r="C17" s="118"/>
      <c r="D17" s="81"/>
      <c r="E17" s="80"/>
      <c r="F17" s="80"/>
      <c r="G17" s="80"/>
      <c r="H17" s="80"/>
      <c r="I17" s="82"/>
    </row>
    <row r="18" spans="1:9" ht="18">
      <c r="A18" s="83" t="s">
        <v>97</v>
      </c>
      <c r="E18" s="84">
        <v>2822.5</v>
      </c>
      <c r="F18" s="85">
        <v>2822.5</v>
      </c>
      <c r="G18" s="85">
        <v>2822.5</v>
      </c>
      <c r="H18" s="85">
        <v>2822.5</v>
      </c>
      <c r="I18" s="85">
        <v>2822.5</v>
      </c>
    </row>
    <row r="19" spans="1:9" ht="18">
      <c r="A19" s="86" t="s">
        <v>98</v>
      </c>
      <c r="B19" s="87"/>
      <c r="C19" s="87"/>
      <c r="D19" s="87"/>
      <c r="E19" s="48">
        <f>E18*$C$108</f>
        <v>579.757022904931</v>
      </c>
      <c r="F19" s="49">
        <f>F18*$C$108</f>
        <v>579.757022904931</v>
      </c>
      <c r="G19" s="49">
        <f>G18*$C$108</f>
        <v>579.757022904931</v>
      </c>
      <c r="H19" s="49">
        <f>H18*$C$108</f>
        <v>579.757022904931</v>
      </c>
      <c r="I19" s="49">
        <f>I18*$C$108</f>
        <v>579.757022904931</v>
      </c>
    </row>
    <row r="20" spans="1:9" ht="18">
      <c r="A20" s="111"/>
      <c r="B20" s="98"/>
      <c r="C20" s="115"/>
      <c r="D20" s="100"/>
      <c r="E20" s="89" t="s">
        <v>99</v>
      </c>
      <c r="F20" s="90">
        <f>AVERAGE(E18:I18)</f>
        <v>2822.5</v>
      </c>
      <c r="G20" s="91" t="s">
        <v>100</v>
      </c>
      <c r="H20" s="92"/>
      <c r="I20" s="62">
        <f>AVERAGE(E19:I19)</f>
        <v>579.757022904931</v>
      </c>
    </row>
    <row r="21" spans="1:9" ht="18.75">
      <c r="A21" s="105" t="s">
        <v>101</v>
      </c>
      <c r="B21" s="98"/>
      <c r="C21" s="112"/>
      <c r="D21" s="100"/>
      <c r="E21" s="98"/>
      <c r="F21" s="98"/>
      <c r="G21" s="98"/>
      <c r="H21" s="98"/>
      <c r="I21" s="98"/>
    </row>
    <row r="22" spans="1:9" ht="18">
      <c r="A22" s="63" t="s">
        <v>102</v>
      </c>
      <c r="B22" s="107"/>
      <c r="C22" s="64"/>
      <c r="D22" s="109"/>
      <c r="E22" s="107"/>
      <c r="F22" s="107"/>
      <c r="G22" s="107"/>
      <c r="H22" s="107"/>
      <c r="I22" s="110"/>
    </row>
    <row r="23" spans="1:9" ht="18">
      <c r="A23" s="114" t="s">
        <v>103</v>
      </c>
      <c r="B23" s="98"/>
      <c r="C23" s="112">
        <f>'Model GDF 3'!C23</f>
        <v>200</v>
      </c>
      <c r="D23" s="100"/>
      <c r="E23" s="65">
        <f>Summary!$G$14</f>
        <v>9.75</v>
      </c>
      <c r="F23" s="9">
        <f>$E$23</f>
        <v>9.75</v>
      </c>
      <c r="G23" s="9"/>
      <c r="H23" s="9"/>
      <c r="I23" s="10"/>
    </row>
    <row r="24" spans="1:9" ht="18">
      <c r="A24" s="114" t="s">
        <v>104</v>
      </c>
      <c r="B24" s="98"/>
      <c r="C24" s="112">
        <f>'Model GDF 3'!C24</f>
        <v>231.25</v>
      </c>
      <c r="D24" s="100"/>
      <c r="E24" s="9"/>
      <c r="F24" s="9"/>
      <c r="G24" s="9">
        <f>$E$23</f>
        <v>9.75</v>
      </c>
      <c r="H24" s="9"/>
      <c r="I24" s="10"/>
    </row>
    <row r="25" spans="1:9" ht="18">
      <c r="A25" s="114" t="s">
        <v>105</v>
      </c>
      <c r="B25" s="98"/>
      <c r="C25" s="112">
        <f>'Model GDF 3'!C25</f>
        <v>208.83</v>
      </c>
      <c r="D25" s="100"/>
      <c r="E25" s="9"/>
      <c r="F25" s="9"/>
      <c r="G25" s="9"/>
      <c r="H25" s="9">
        <f>$E$23</f>
        <v>9.75</v>
      </c>
      <c r="I25" s="10"/>
    </row>
    <row r="26" spans="1:9" ht="18">
      <c r="A26" s="114" t="s">
        <v>106</v>
      </c>
      <c r="B26" s="98"/>
      <c r="C26" s="112">
        <f>'Model GDF 3'!C26</f>
        <v>224.78</v>
      </c>
      <c r="D26" s="100"/>
      <c r="E26" s="9"/>
      <c r="F26" s="9"/>
      <c r="G26" s="9"/>
      <c r="H26" s="9"/>
      <c r="I26" s="10">
        <f>$E$23</f>
        <v>9.75</v>
      </c>
    </row>
    <row r="27" spans="1:9" ht="18">
      <c r="A27" s="114" t="s">
        <v>107</v>
      </c>
      <c r="B27" s="98"/>
      <c r="C27" s="112">
        <f>'Model GDF 3'!C27</f>
        <v>381.82</v>
      </c>
      <c r="D27" s="100"/>
      <c r="E27" s="9">
        <f>E$23</f>
        <v>9.75</v>
      </c>
      <c r="F27" s="9">
        <f>F$23</f>
        <v>9.75</v>
      </c>
      <c r="G27" s="9"/>
      <c r="H27" s="9"/>
      <c r="I27" s="10"/>
    </row>
    <row r="28" spans="1:9" ht="18">
      <c r="A28" s="114" t="s">
        <v>108</v>
      </c>
      <c r="B28" s="98"/>
      <c r="C28" s="112">
        <f>'Model GDF 3'!C28</f>
        <v>467.87</v>
      </c>
      <c r="D28" s="100"/>
      <c r="E28" s="9"/>
      <c r="F28" s="9"/>
      <c r="G28" s="9">
        <f>G$24</f>
        <v>9.75</v>
      </c>
      <c r="H28" s="9"/>
      <c r="I28" s="10"/>
    </row>
    <row r="29" spans="1:9" ht="18">
      <c r="A29" s="114" t="s">
        <v>109</v>
      </c>
      <c r="B29" s="98"/>
      <c r="C29" s="112">
        <f>'Model GDF 3'!C29</f>
        <v>400.11</v>
      </c>
      <c r="D29" s="100"/>
      <c r="E29" s="9"/>
      <c r="F29" s="9"/>
      <c r="G29" s="9"/>
      <c r="H29" s="9">
        <f>H$25</f>
        <v>9.75</v>
      </c>
      <c r="I29" s="10"/>
    </row>
    <row r="30" spans="1:9" ht="18">
      <c r="A30" s="114" t="s">
        <v>110</v>
      </c>
      <c r="B30" s="98"/>
      <c r="C30" s="112">
        <f>'Model GDF 3'!C30</f>
        <v>220.49</v>
      </c>
      <c r="D30" s="100"/>
      <c r="E30" s="9"/>
      <c r="F30" s="9"/>
      <c r="G30" s="9"/>
      <c r="H30" s="9"/>
      <c r="I30" s="10">
        <f>I$26</f>
        <v>9.75</v>
      </c>
    </row>
    <row r="31" spans="1:9" ht="18">
      <c r="A31" s="114" t="s">
        <v>111</v>
      </c>
      <c r="B31" s="98"/>
      <c r="C31" s="115"/>
      <c r="D31" s="100"/>
      <c r="E31" s="9"/>
      <c r="F31" s="9"/>
      <c r="G31" s="9"/>
      <c r="H31" s="9"/>
      <c r="I31" s="10"/>
    </row>
    <row r="32" spans="1:9" ht="18">
      <c r="A32" s="114" t="s">
        <v>112</v>
      </c>
      <c r="B32" s="98"/>
      <c r="C32" s="112">
        <f>'Model GDF 3'!C32</f>
        <v>7500</v>
      </c>
      <c r="D32" s="100"/>
      <c r="E32" s="9"/>
      <c r="F32" s="9"/>
      <c r="G32" s="9"/>
      <c r="H32" s="9">
        <v>1</v>
      </c>
      <c r="I32" s="10"/>
    </row>
    <row r="33" spans="1:9" ht="18">
      <c r="A33" s="114" t="s">
        <v>113</v>
      </c>
      <c r="B33" s="98"/>
      <c r="C33" s="112">
        <f>'Model GDF 3'!C33</f>
        <v>9000</v>
      </c>
      <c r="D33" s="100"/>
      <c r="E33" s="9"/>
      <c r="F33" s="9"/>
      <c r="G33" s="9"/>
      <c r="H33" s="9"/>
      <c r="I33" s="10">
        <v>1</v>
      </c>
    </row>
    <row r="34" spans="1:9" ht="18">
      <c r="A34" s="111" t="s">
        <v>114</v>
      </c>
      <c r="B34" s="98"/>
      <c r="C34" s="112"/>
      <c r="D34" s="100"/>
      <c r="E34" s="9"/>
      <c r="F34" s="9"/>
      <c r="G34" s="9"/>
      <c r="H34" s="9"/>
      <c r="I34" s="10"/>
    </row>
    <row r="35" spans="1:9" ht="18">
      <c r="A35" s="111" t="s">
        <v>115</v>
      </c>
      <c r="B35" s="98"/>
      <c r="C35" s="112">
        <f>'Model GDF 3'!C35</f>
        <v>7500</v>
      </c>
      <c r="D35" s="100"/>
      <c r="E35" s="9">
        <v>1</v>
      </c>
      <c r="F35" s="9">
        <v>1</v>
      </c>
      <c r="G35" s="9">
        <v>1</v>
      </c>
      <c r="H35" s="9"/>
      <c r="I35" s="10"/>
    </row>
    <row r="36" spans="1:9" ht="18">
      <c r="A36" s="114" t="s">
        <v>95</v>
      </c>
      <c r="B36" s="98"/>
      <c r="C36" s="112"/>
      <c r="D36" s="100"/>
      <c r="E36" s="9"/>
      <c r="F36" s="9"/>
      <c r="G36" s="9"/>
      <c r="H36" s="9"/>
      <c r="I36" s="10"/>
    </row>
    <row r="37" spans="1:9" ht="18">
      <c r="A37" s="114" t="s">
        <v>103</v>
      </c>
      <c r="B37" s="98"/>
      <c r="C37" s="112">
        <f>'Model GDF 3'!C37</f>
        <v>86.04</v>
      </c>
      <c r="D37" s="100"/>
      <c r="E37" s="9">
        <f>E$23</f>
        <v>9.75</v>
      </c>
      <c r="F37" s="9">
        <f>F$23</f>
        <v>9.75</v>
      </c>
      <c r="G37" s="9"/>
      <c r="H37" s="9"/>
      <c r="I37" s="10"/>
    </row>
    <row r="38" spans="1:9" ht="18">
      <c r="A38" s="114" t="s">
        <v>104</v>
      </c>
      <c r="B38" s="98"/>
      <c r="C38" s="112">
        <f>'Model GDF 3'!C38</f>
        <v>107.56</v>
      </c>
      <c r="D38" s="100"/>
      <c r="E38" s="9"/>
      <c r="F38" s="9"/>
      <c r="G38" s="9">
        <f>G$24</f>
        <v>9.75</v>
      </c>
      <c r="H38" s="9"/>
      <c r="I38" s="10"/>
    </row>
    <row r="39" spans="1:9" ht="18">
      <c r="A39" s="114" t="s">
        <v>105</v>
      </c>
      <c r="B39" s="98"/>
      <c r="C39" s="112">
        <f>'Model GDF 3'!C39</f>
        <v>48.4</v>
      </c>
      <c r="D39" s="100"/>
      <c r="E39" s="9"/>
      <c r="F39" s="9"/>
      <c r="G39" s="9"/>
      <c r="H39" s="9">
        <f>H$25</f>
        <v>9.75</v>
      </c>
      <c r="I39" s="10"/>
    </row>
    <row r="40" spans="1:9" ht="18">
      <c r="A40" s="114" t="s">
        <v>106</v>
      </c>
      <c r="B40" s="98"/>
      <c r="C40" s="112">
        <f>'Model GDF 3'!C40</f>
        <v>53.78</v>
      </c>
      <c r="D40" s="100"/>
      <c r="E40" s="9"/>
      <c r="F40" s="9"/>
      <c r="G40" s="9"/>
      <c r="H40" s="9"/>
      <c r="I40" s="10">
        <f>I$26</f>
        <v>9.75</v>
      </c>
    </row>
    <row r="41" spans="1:9" ht="18">
      <c r="A41" s="114" t="s">
        <v>107</v>
      </c>
      <c r="B41" s="68"/>
      <c r="C41" s="112">
        <f>'Model GDF 3'!C41</f>
        <v>172.08</v>
      </c>
      <c r="D41" s="100"/>
      <c r="E41" s="9">
        <f>E$23</f>
        <v>9.75</v>
      </c>
      <c r="F41" s="9">
        <f>F$23</f>
        <v>9.75</v>
      </c>
      <c r="G41" s="9"/>
      <c r="H41" s="9"/>
      <c r="I41" s="10"/>
    </row>
    <row r="42" spans="1:9" ht="18">
      <c r="A42" s="114" t="s">
        <v>108</v>
      </c>
      <c r="B42" s="68"/>
      <c r="C42" s="112">
        <f>'Model GDF 3'!C42</f>
        <v>215.12</v>
      </c>
      <c r="D42" s="100"/>
      <c r="E42" s="9"/>
      <c r="F42" s="9"/>
      <c r="G42" s="9">
        <f>G$24</f>
        <v>9.75</v>
      </c>
      <c r="H42" s="9"/>
      <c r="I42" s="10"/>
    </row>
    <row r="43" spans="1:9" ht="18">
      <c r="A43" s="114" t="s">
        <v>109</v>
      </c>
      <c r="B43" s="68"/>
      <c r="C43" s="112">
        <f>'Model GDF 3'!C43</f>
        <v>96.8</v>
      </c>
      <c r="D43" s="100"/>
      <c r="E43" s="9"/>
      <c r="F43" s="9"/>
      <c r="G43" s="9"/>
      <c r="H43" s="9">
        <f>H$25</f>
        <v>9.75</v>
      </c>
      <c r="I43" s="10"/>
    </row>
    <row r="44" spans="1:9" ht="18">
      <c r="A44" s="114" t="s">
        <v>110</v>
      </c>
      <c r="B44" s="68"/>
      <c r="C44" s="112">
        <f>'Model GDF 3'!C44</f>
        <v>107.56</v>
      </c>
      <c r="D44" s="100"/>
      <c r="E44" s="9"/>
      <c r="F44" s="9"/>
      <c r="G44" s="9"/>
      <c r="H44" s="9"/>
      <c r="I44" s="10">
        <f>I$26</f>
        <v>9.75</v>
      </c>
    </row>
    <row r="45" spans="1:9" ht="18">
      <c r="A45" s="114" t="s">
        <v>116</v>
      </c>
      <c r="B45" s="98"/>
      <c r="C45" s="112">
        <f>'Model GDF 3'!C45</f>
        <v>1505.78</v>
      </c>
      <c r="D45" s="100"/>
      <c r="E45" s="9"/>
      <c r="F45" s="9"/>
      <c r="G45" s="9"/>
      <c r="H45" s="9">
        <v>1</v>
      </c>
      <c r="I45" s="10"/>
    </row>
    <row r="46" spans="1:9" ht="18">
      <c r="A46" s="114" t="s">
        <v>117</v>
      </c>
      <c r="B46" s="98"/>
      <c r="C46" s="112">
        <f>'Model GDF 3'!C46</f>
        <v>1290.67</v>
      </c>
      <c r="D46" s="100"/>
      <c r="E46" s="9"/>
      <c r="F46" s="9"/>
      <c r="G46" s="9"/>
      <c r="H46" s="9"/>
      <c r="I46" s="10">
        <v>1</v>
      </c>
    </row>
    <row r="47" spans="1:9" ht="18">
      <c r="A47" s="116" t="s">
        <v>118</v>
      </c>
      <c r="B47" s="117"/>
      <c r="C47" s="112">
        <f>'Model GDF 3'!C47</f>
        <v>1506</v>
      </c>
      <c r="D47" s="81"/>
      <c r="E47" s="11">
        <v>1</v>
      </c>
      <c r="F47" s="11">
        <v>1</v>
      </c>
      <c r="G47" s="11">
        <v>1</v>
      </c>
      <c r="H47" s="11"/>
      <c r="I47" s="12"/>
    </row>
    <row r="48" spans="1:9" ht="18">
      <c r="A48" s="114"/>
      <c r="B48" s="68"/>
      <c r="C48" s="115"/>
      <c r="D48" s="100"/>
      <c r="E48" s="71"/>
      <c r="F48" s="71"/>
      <c r="G48" s="71"/>
      <c r="H48" s="71"/>
      <c r="I48" s="72"/>
    </row>
    <row r="49" spans="1:9" ht="18">
      <c r="A49" s="83" t="s">
        <v>119</v>
      </c>
      <c r="B49" s="68"/>
      <c r="C49" s="115"/>
      <c r="D49" s="100"/>
      <c r="E49" s="84">
        <v>17195.415</v>
      </c>
      <c r="F49" s="85">
        <v>17195.415</v>
      </c>
      <c r="G49" s="85">
        <v>18968.55</v>
      </c>
      <c r="H49" s="85">
        <v>16358.645</v>
      </c>
      <c r="I49" s="85">
        <v>16205.117499999998</v>
      </c>
    </row>
    <row r="50" spans="1:9" ht="18">
      <c r="A50" s="114" t="s">
        <v>120</v>
      </c>
      <c r="B50" s="68"/>
      <c r="C50" s="115"/>
      <c r="D50" s="100"/>
      <c r="E50" s="115">
        <v>2788.89</v>
      </c>
      <c r="F50" s="115">
        <v>2788.89</v>
      </c>
      <c r="G50" s="115">
        <v>3303.3975</v>
      </c>
      <c r="H50" s="115">
        <v>2507.9925000000003</v>
      </c>
      <c r="I50" s="73">
        <v>2715.96</v>
      </c>
    </row>
    <row r="51" spans="1:9" ht="18">
      <c r="A51" s="114" t="s">
        <v>121</v>
      </c>
      <c r="B51" s="68"/>
      <c r="C51" s="115"/>
      <c r="D51" s="100"/>
      <c r="E51" s="115">
        <v>5400.525</v>
      </c>
      <c r="F51" s="115">
        <v>5400.525</v>
      </c>
      <c r="G51" s="115">
        <v>6659.1525</v>
      </c>
      <c r="H51" s="115">
        <v>4844.8725</v>
      </c>
      <c r="I51" s="73">
        <v>3198.4875</v>
      </c>
    </row>
    <row r="52" spans="1:9" ht="18">
      <c r="A52" s="114" t="s">
        <v>122</v>
      </c>
      <c r="B52" s="68"/>
      <c r="C52" s="115"/>
      <c r="D52" s="100"/>
      <c r="E52" s="74">
        <f>E49-E50-E51</f>
        <v>9006.000000000002</v>
      </c>
      <c r="F52" s="74">
        <f>F49-F50-F51</f>
        <v>9006.000000000002</v>
      </c>
      <c r="G52" s="74">
        <f>G49-G50-G51</f>
        <v>9006</v>
      </c>
      <c r="H52" s="74">
        <f>H49-H50-H51</f>
        <v>9005.779999999999</v>
      </c>
      <c r="I52" s="75">
        <f>I49-I50-I51</f>
        <v>10290.669999999998</v>
      </c>
    </row>
    <row r="53" spans="1:9" ht="18">
      <c r="A53" s="114" t="s">
        <v>123</v>
      </c>
      <c r="B53" s="68"/>
      <c r="C53" s="115"/>
      <c r="D53" s="100"/>
      <c r="E53" s="115">
        <f>E50*$C$109</f>
        <v>1121.4539546827789</v>
      </c>
      <c r="F53" s="115">
        <f>F50*$C$109</f>
        <v>1121.4539546827789</v>
      </c>
      <c r="G53" s="115">
        <f>G50*$C$109</f>
        <v>1328.3450370090625</v>
      </c>
      <c r="H53" s="115">
        <f>H50*$C$109</f>
        <v>1008.5009116314194</v>
      </c>
      <c r="I53" s="73">
        <f>I50*$C$109</f>
        <v>1092.12772205438</v>
      </c>
    </row>
    <row r="54" spans="1:9" ht="18">
      <c r="A54" s="114" t="s">
        <v>124</v>
      </c>
      <c r="B54" s="68"/>
      <c r="C54" s="115"/>
      <c r="D54" s="100"/>
      <c r="E54" s="115">
        <f>E51*$C$108</f>
        <v>1109.2975362705588</v>
      </c>
      <c r="F54" s="115">
        <f>F51*$C$108</f>
        <v>1109.2975362705588</v>
      </c>
      <c r="G54" s="115">
        <f>G51*$C$108</f>
        <v>1367.8265468449704</v>
      </c>
      <c r="H54" s="115">
        <f>H51*$C$108</f>
        <v>995.1634568481738</v>
      </c>
      <c r="I54" s="73">
        <f>I51*$C$108</f>
        <v>656.9869232236088</v>
      </c>
    </row>
    <row r="55" spans="1:9" ht="18">
      <c r="A55" s="114" t="s">
        <v>125</v>
      </c>
      <c r="B55" s="68"/>
      <c r="C55" s="115"/>
      <c r="D55" s="100"/>
      <c r="E55" s="76">
        <f>E52*$C$107</f>
        <v>1465.685026311899</v>
      </c>
      <c r="F55" s="77">
        <f>F52*$C$107</f>
        <v>1465.685026311899</v>
      </c>
      <c r="G55" s="77">
        <f>G52*$C$107</f>
        <v>1465.6850263118988</v>
      </c>
      <c r="H55" s="77">
        <f>H52*$C$107</f>
        <v>1465.6492223250245</v>
      </c>
      <c r="I55" s="51">
        <f>I52*$C$107</f>
        <v>1674.7591527556147</v>
      </c>
    </row>
    <row r="56" spans="1:9" ht="18">
      <c r="A56" s="86" t="s">
        <v>126</v>
      </c>
      <c r="B56" s="52"/>
      <c r="C56" s="74"/>
      <c r="D56" s="53"/>
      <c r="E56" s="54">
        <f>SUM(E53:E55)</f>
        <v>3696.4365172652365</v>
      </c>
      <c r="F56" s="55">
        <f>SUM(F53:F55)</f>
        <v>3696.4365172652365</v>
      </c>
      <c r="G56" s="55">
        <f>SUM(G53:G55)</f>
        <v>4161.856610165932</v>
      </c>
      <c r="H56" s="55">
        <f>SUM(H53:H55)</f>
        <v>3469.313590804618</v>
      </c>
      <c r="I56" s="55">
        <f>SUM(I53:I55)</f>
        <v>3423.8737980336036</v>
      </c>
    </row>
    <row r="57" spans="1:9" ht="18">
      <c r="A57" s="100"/>
      <c r="B57" s="68"/>
      <c r="C57" s="88"/>
      <c r="D57" s="100"/>
      <c r="E57" s="89" t="s">
        <v>99</v>
      </c>
      <c r="F57" s="90">
        <f>AVERAGE(E49:I49)</f>
        <v>17184.6285</v>
      </c>
      <c r="G57" s="91" t="s">
        <v>100</v>
      </c>
      <c r="H57" s="92"/>
      <c r="I57" s="62">
        <f>AVERAGE(E56:I56)</f>
        <v>3689.5834067069254</v>
      </c>
    </row>
    <row r="58" spans="1:9" ht="18.75">
      <c r="A58" s="105" t="s">
        <v>127</v>
      </c>
      <c r="B58" s="98"/>
      <c r="C58" s="99"/>
      <c r="D58" s="100"/>
      <c r="E58" s="98"/>
      <c r="F58" s="98"/>
      <c r="G58" s="98"/>
      <c r="H58" s="98"/>
      <c r="I58" s="98"/>
    </row>
    <row r="59" spans="1:9" ht="18">
      <c r="A59" s="106" t="s">
        <v>128</v>
      </c>
      <c r="B59" s="107"/>
      <c r="C59" s="108"/>
      <c r="D59" s="109"/>
      <c r="E59" s="107"/>
      <c r="F59" s="107"/>
      <c r="G59" s="107"/>
      <c r="H59" s="107"/>
      <c r="I59" s="110"/>
    </row>
    <row r="60" spans="1:9" ht="18">
      <c r="A60" s="111" t="s">
        <v>129</v>
      </c>
      <c r="B60" s="98"/>
      <c r="C60" s="112">
        <f>'Model GDF 3'!C60</f>
        <v>54.20125</v>
      </c>
      <c r="D60" s="100"/>
      <c r="E60" s="56"/>
      <c r="F60" s="56"/>
      <c r="G60" s="56"/>
      <c r="H60" s="56">
        <f>$E$23</f>
        <v>9.75</v>
      </c>
      <c r="I60" s="57">
        <f>$E$23</f>
        <v>9.75</v>
      </c>
    </row>
    <row r="61" spans="1:9" ht="18">
      <c r="A61" s="114" t="s">
        <v>130</v>
      </c>
      <c r="B61" s="98"/>
      <c r="E61" s="58"/>
      <c r="F61" s="58"/>
      <c r="G61" s="58"/>
      <c r="H61" s="58"/>
      <c r="I61" s="59"/>
    </row>
    <row r="62" spans="1:9" ht="18">
      <c r="A62" s="114" t="s">
        <v>131</v>
      </c>
      <c r="B62" s="98"/>
      <c r="C62" s="115"/>
      <c r="D62" s="100"/>
      <c r="E62" s="56"/>
      <c r="F62" s="56"/>
      <c r="G62" s="56"/>
      <c r="H62" s="56"/>
      <c r="I62" s="57"/>
    </row>
    <row r="63" spans="1:9" ht="18">
      <c r="A63" s="111" t="s">
        <v>132</v>
      </c>
      <c r="B63" s="98"/>
      <c r="C63" s="112">
        <f>'Model GDF 3'!C63</f>
        <v>200</v>
      </c>
      <c r="D63" s="100"/>
      <c r="E63" s="41">
        <f>Summary!$G$15</f>
        <v>9</v>
      </c>
      <c r="F63" s="56">
        <f>$E$63</f>
        <v>9</v>
      </c>
      <c r="G63" s="56">
        <f>$E$63</f>
        <v>9</v>
      </c>
      <c r="H63" s="56"/>
      <c r="I63" s="57"/>
    </row>
    <row r="64" spans="1:9" ht="18">
      <c r="A64" s="111" t="s">
        <v>133</v>
      </c>
      <c r="B64" s="98"/>
      <c r="C64" s="112"/>
      <c r="D64" s="100"/>
      <c r="E64" s="56"/>
      <c r="F64" s="56"/>
      <c r="G64" s="56"/>
      <c r="H64" s="56"/>
      <c r="I64" s="57"/>
    </row>
    <row r="65" spans="1:9" ht="18">
      <c r="A65" s="114" t="s">
        <v>95</v>
      </c>
      <c r="B65" s="98"/>
      <c r="C65" s="115"/>
      <c r="D65" s="100"/>
      <c r="E65" s="56"/>
      <c r="F65" s="56"/>
      <c r="G65" s="56"/>
      <c r="H65" s="56"/>
      <c r="I65" s="57"/>
    </row>
    <row r="66" spans="1:9" ht="18">
      <c r="A66" s="111" t="s">
        <v>134</v>
      </c>
      <c r="B66" s="98"/>
      <c r="C66" s="112">
        <f>'Model GDF 3'!C66</f>
        <v>160</v>
      </c>
      <c r="D66" s="100"/>
      <c r="E66" s="56"/>
      <c r="F66" s="56"/>
      <c r="G66" s="56"/>
      <c r="H66" s="56">
        <f>$E$23</f>
        <v>9.75</v>
      </c>
      <c r="I66" s="57">
        <f>$E$23</f>
        <v>9.75</v>
      </c>
    </row>
    <row r="67" spans="1:9" ht="18">
      <c r="A67" s="42" t="s">
        <v>132</v>
      </c>
      <c r="B67" s="117"/>
      <c r="C67" s="112">
        <f>'Model GDF 3'!C67</f>
        <v>160</v>
      </c>
      <c r="D67" s="81"/>
      <c r="E67" s="56">
        <f>$E$63</f>
        <v>9</v>
      </c>
      <c r="F67" s="56">
        <f>$E$63</f>
        <v>9</v>
      </c>
      <c r="G67" s="56">
        <f>$E$63</f>
        <v>9</v>
      </c>
      <c r="H67" s="43"/>
      <c r="I67" s="44"/>
    </row>
    <row r="68" spans="1:9" ht="18">
      <c r="A68" s="114"/>
      <c r="B68" s="68"/>
      <c r="C68" s="115"/>
      <c r="D68" s="100"/>
      <c r="E68" s="45"/>
      <c r="F68" s="45"/>
      <c r="G68" s="45"/>
      <c r="H68" s="45"/>
      <c r="I68" s="46"/>
    </row>
    <row r="69" spans="1:9" ht="18">
      <c r="A69" s="83" t="s">
        <v>135</v>
      </c>
      <c r="B69" s="68"/>
      <c r="C69" s="115"/>
      <c r="D69" s="100"/>
      <c r="E69" s="84">
        <v>3240</v>
      </c>
      <c r="F69" s="85">
        <v>3240</v>
      </c>
      <c r="G69" s="85">
        <v>3240</v>
      </c>
      <c r="H69" s="85">
        <v>2088.4621875000003</v>
      </c>
      <c r="I69" s="85">
        <v>2088.4621875000003</v>
      </c>
    </row>
    <row r="70" spans="1:9" ht="18">
      <c r="A70" s="114" t="s">
        <v>136</v>
      </c>
      <c r="B70" s="68"/>
      <c r="C70" s="115"/>
      <c r="D70" s="100"/>
      <c r="E70" s="115">
        <v>0</v>
      </c>
      <c r="F70" s="115">
        <v>0</v>
      </c>
      <c r="G70" s="115">
        <v>0</v>
      </c>
      <c r="H70" s="115">
        <v>2088.4621875000003</v>
      </c>
      <c r="I70" s="73">
        <v>2088.4621875000003</v>
      </c>
    </row>
    <row r="71" spans="1:9" ht="18">
      <c r="A71" s="114" t="s">
        <v>137</v>
      </c>
      <c r="B71" s="68"/>
      <c r="C71" s="115"/>
      <c r="D71" s="100"/>
      <c r="E71" s="74">
        <v>3240</v>
      </c>
      <c r="F71" s="74">
        <v>3240</v>
      </c>
      <c r="G71" s="74">
        <v>3240</v>
      </c>
      <c r="H71" s="74">
        <v>0</v>
      </c>
      <c r="I71" s="75">
        <v>0</v>
      </c>
    </row>
    <row r="72" spans="1:9" ht="18">
      <c r="A72" s="114" t="s">
        <v>138</v>
      </c>
      <c r="B72" s="68"/>
      <c r="C72" s="115"/>
      <c r="D72" s="100"/>
      <c r="E72" s="115">
        <f>E70*$C109</f>
        <v>0</v>
      </c>
      <c r="F72" s="115">
        <f>F70*$C109</f>
        <v>0</v>
      </c>
      <c r="G72" s="115">
        <f>G70*$C109</f>
        <v>0</v>
      </c>
      <c r="H72" s="115">
        <f>H70*$C109</f>
        <v>839.8015624055887</v>
      </c>
      <c r="I72" s="73">
        <f>I70*$C109</f>
        <v>839.8015624055887</v>
      </c>
    </row>
    <row r="73" spans="1:9" ht="18">
      <c r="A73" s="114" t="s">
        <v>139</v>
      </c>
      <c r="B73" s="68"/>
      <c r="C73" s="115"/>
      <c r="D73" s="100"/>
      <c r="E73" s="115">
        <f>E71*$C108</f>
        <v>665.5138190299297</v>
      </c>
      <c r="F73" s="115">
        <f>F71*$C108</f>
        <v>665.5138190299297</v>
      </c>
      <c r="G73" s="115">
        <f>G71*$C108</f>
        <v>665.5138190299297</v>
      </c>
      <c r="H73" s="115">
        <f>H71*$C108</f>
        <v>0</v>
      </c>
      <c r="I73" s="73">
        <f>I71*$C108</f>
        <v>0</v>
      </c>
    </row>
    <row r="74" spans="1:9" ht="18">
      <c r="A74" s="86" t="s">
        <v>140</v>
      </c>
      <c r="B74" s="47"/>
      <c r="C74" s="74"/>
      <c r="D74" s="53"/>
      <c r="E74" s="48">
        <f>SUM(E72:E73)</f>
        <v>665.5138190299297</v>
      </c>
      <c r="F74" s="49">
        <f>SUM(F72:F73)</f>
        <v>665.5138190299297</v>
      </c>
      <c r="G74" s="49">
        <f>SUM(G72:G73)</f>
        <v>665.5138190299297</v>
      </c>
      <c r="H74" s="49">
        <f>SUM(H72:H73)</f>
        <v>839.8015624055887</v>
      </c>
      <c r="I74" s="49">
        <f>SUM(I72:I73)</f>
        <v>839.8015624055887</v>
      </c>
    </row>
    <row r="75" spans="1:9" ht="18">
      <c r="A75" s="100"/>
      <c r="B75" s="98"/>
      <c r="C75" s="88"/>
      <c r="D75" s="100"/>
      <c r="E75" s="89" t="s">
        <v>99</v>
      </c>
      <c r="F75" s="90">
        <f>AVERAGE(E69:I69)</f>
        <v>2779.3848750000006</v>
      </c>
      <c r="G75" s="91" t="s">
        <v>100</v>
      </c>
      <c r="H75" s="92"/>
      <c r="I75" s="62">
        <f>AVERAGE(E74:I74)</f>
        <v>735.2289163801933</v>
      </c>
    </row>
    <row r="76" spans="1:9" ht="18.75">
      <c r="A76" s="105" t="s">
        <v>141</v>
      </c>
      <c r="B76" s="98"/>
      <c r="C76" s="99"/>
      <c r="D76" s="100"/>
      <c r="E76" s="56"/>
      <c r="F76" s="56"/>
      <c r="G76" s="56"/>
      <c r="H76" s="56"/>
      <c r="I76" s="41"/>
    </row>
    <row r="77" spans="1:9" ht="18">
      <c r="A77" s="63" t="s">
        <v>142</v>
      </c>
      <c r="B77" s="107"/>
      <c r="C77" s="64">
        <f>'Model GDF 3'!C77</f>
        <v>54.05375</v>
      </c>
      <c r="D77" s="109"/>
      <c r="E77" s="17">
        <f>$E$23</f>
        <v>9.75</v>
      </c>
      <c r="F77" s="17">
        <f>$E$23</f>
        <v>9.75</v>
      </c>
      <c r="G77" s="17">
        <f>$E$23</f>
        <v>9.75</v>
      </c>
      <c r="H77" s="17">
        <f>$E$23</f>
        <v>9.75</v>
      </c>
      <c r="I77" s="18">
        <f>$E$23</f>
        <v>9.75</v>
      </c>
    </row>
    <row r="78" spans="1:9" ht="18">
      <c r="A78" s="42" t="s">
        <v>143</v>
      </c>
      <c r="B78" s="117"/>
      <c r="C78" s="26"/>
      <c r="D78" s="81"/>
      <c r="E78" s="43"/>
      <c r="F78" s="43"/>
      <c r="G78" s="43"/>
      <c r="H78" s="43"/>
      <c r="I78" s="44"/>
    </row>
    <row r="79" spans="1:9" ht="18">
      <c r="A79" s="114"/>
      <c r="B79" s="68"/>
      <c r="C79" s="112"/>
      <c r="D79" s="100"/>
      <c r="E79" s="45"/>
      <c r="F79" s="45"/>
      <c r="G79" s="45"/>
      <c r="H79" s="45"/>
      <c r="I79" s="46"/>
    </row>
    <row r="80" spans="1:9" ht="18">
      <c r="A80" s="83" t="s">
        <v>144</v>
      </c>
      <c r="B80" s="68"/>
      <c r="C80" s="112"/>
      <c r="D80" s="100"/>
      <c r="E80" s="84">
        <v>527.0240625</v>
      </c>
      <c r="F80" s="85">
        <v>527.0240625</v>
      </c>
      <c r="G80" s="85">
        <v>527.0240625</v>
      </c>
      <c r="H80" s="85">
        <v>527.0240625</v>
      </c>
      <c r="I80" s="85">
        <v>527.0240625</v>
      </c>
    </row>
    <row r="81" spans="1:9" ht="18">
      <c r="A81" s="86" t="s">
        <v>145</v>
      </c>
      <c r="B81" s="47"/>
      <c r="C81" s="27"/>
      <c r="D81" s="53"/>
      <c r="E81" s="48">
        <f>E80*$C109</f>
        <v>211.9241773980361</v>
      </c>
      <c r="F81" s="49">
        <f>F80*$C109</f>
        <v>211.9241773980361</v>
      </c>
      <c r="G81" s="49">
        <f>G80*$C109</f>
        <v>211.9241773980361</v>
      </c>
      <c r="H81" s="49">
        <f>H80*$C109</f>
        <v>211.9241773980361</v>
      </c>
      <c r="I81" s="49">
        <f>I80*$C109</f>
        <v>211.9241773980361</v>
      </c>
    </row>
    <row r="82" spans="1:9" ht="18">
      <c r="A82" s="100"/>
      <c r="B82" s="98"/>
      <c r="C82" s="88"/>
      <c r="D82" s="100"/>
      <c r="E82" s="89" t="s">
        <v>99</v>
      </c>
      <c r="F82" s="90">
        <f>AVERAGE(E80:I80)</f>
        <v>527.0240625</v>
      </c>
      <c r="G82" s="91" t="s">
        <v>100</v>
      </c>
      <c r="H82" s="92"/>
      <c r="I82" s="62">
        <f>AVERAGE(E81:I81)</f>
        <v>211.92417739803608</v>
      </c>
    </row>
    <row r="83" spans="1:9" ht="18.75">
      <c r="A83" s="105" t="s">
        <v>146</v>
      </c>
      <c r="B83" s="98"/>
      <c r="C83" s="99"/>
      <c r="D83" s="100"/>
      <c r="E83" s="56"/>
      <c r="F83" s="56"/>
      <c r="G83" s="56"/>
      <c r="H83" s="56"/>
      <c r="I83" s="56"/>
    </row>
    <row r="84" spans="1:9" ht="18">
      <c r="A84" s="63" t="s">
        <v>142</v>
      </c>
      <c r="B84" s="107"/>
      <c r="C84" s="64">
        <f>'Model GDF 3'!C84</f>
        <v>54.05375</v>
      </c>
      <c r="D84" s="109"/>
      <c r="E84" s="17">
        <f>$E$23</f>
        <v>9.75</v>
      </c>
      <c r="F84" s="17">
        <f>$E$23</f>
        <v>9.75</v>
      </c>
      <c r="G84" s="17">
        <f>$E$23</f>
        <v>9.75</v>
      </c>
      <c r="H84" s="17">
        <f>$E$23</f>
        <v>9.75</v>
      </c>
      <c r="I84" s="18">
        <f>$E$23</f>
        <v>9.75</v>
      </c>
    </row>
    <row r="85" spans="1:9" ht="18">
      <c r="A85" s="42" t="s">
        <v>143</v>
      </c>
      <c r="B85" s="117"/>
      <c r="C85" s="26"/>
      <c r="D85" s="81"/>
      <c r="E85" s="43"/>
      <c r="F85" s="43"/>
      <c r="G85" s="43"/>
      <c r="H85" s="43"/>
      <c r="I85" s="44"/>
    </row>
    <row r="86" spans="1:9" ht="18">
      <c r="A86" s="114"/>
      <c r="B86" s="98"/>
      <c r="C86" s="115"/>
      <c r="D86" s="100"/>
      <c r="E86" s="56"/>
      <c r="F86" s="56"/>
      <c r="G86" s="56"/>
      <c r="H86" s="56"/>
      <c r="I86" s="57"/>
    </row>
    <row r="87" spans="1:9" ht="18">
      <c r="A87" s="83" t="s">
        <v>147</v>
      </c>
      <c r="B87" s="68"/>
      <c r="C87" s="115"/>
      <c r="D87" s="100"/>
      <c r="E87" s="84">
        <v>527.0240625</v>
      </c>
      <c r="F87" s="85">
        <v>527.0240625</v>
      </c>
      <c r="G87" s="85">
        <v>527.0240625</v>
      </c>
      <c r="H87" s="85">
        <v>527.0240625</v>
      </c>
      <c r="I87" s="85">
        <v>527.0240625</v>
      </c>
    </row>
    <row r="88" spans="1:9" ht="18">
      <c r="A88" s="86" t="s">
        <v>148</v>
      </c>
      <c r="B88" s="52"/>
      <c r="C88" s="74"/>
      <c r="D88" s="53"/>
      <c r="E88" s="48">
        <f>E87*$C109</f>
        <v>211.9241773980361</v>
      </c>
      <c r="F88" s="49">
        <f>F87*$C109</f>
        <v>211.9241773980361</v>
      </c>
      <c r="G88" s="49">
        <f>G87*$C109</f>
        <v>211.9241773980361</v>
      </c>
      <c r="H88" s="49">
        <f>H87*$C109</f>
        <v>211.9241773980361</v>
      </c>
      <c r="I88" s="49">
        <f>I87*$C109</f>
        <v>211.9241773980361</v>
      </c>
    </row>
    <row r="89" spans="1:9" ht="18">
      <c r="A89" s="100"/>
      <c r="B89" s="68"/>
      <c r="C89" s="88"/>
      <c r="D89" s="100"/>
      <c r="E89" s="89" t="s">
        <v>99</v>
      </c>
      <c r="F89" s="90">
        <f>AVERAGE(E87:I87)</f>
        <v>527.0240625</v>
      </c>
      <c r="G89" s="91" t="s">
        <v>100</v>
      </c>
      <c r="H89" s="92"/>
      <c r="I89" s="62">
        <f>AVERAGE(E88:I88)</f>
        <v>211.92417739803608</v>
      </c>
    </row>
    <row r="90" spans="1:9" ht="18.75">
      <c r="A90" s="105" t="s">
        <v>149</v>
      </c>
      <c r="B90" s="98"/>
      <c r="C90" s="99"/>
      <c r="D90" s="100"/>
      <c r="E90" s="56"/>
      <c r="F90" s="56"/>
      <c r="G90" s="56"/>
      <c r="H90" s="56"/>
      <c r="I90" s="56"/>
    </row>
    <row r="91" spans="1:9" ht="18">
      <c r="A91" s="106" t="s">
        <v>128</v>
      </c>
      <c r="B91" s="107"/>
      <c r="C91" s="108"/>
      <c r="D91" s="109"/>
      <c r="E91" s="24"/>
      <c r="F91" s="24"/>
      <c r="G91" s="24"/>
      <c r="H91" s="24"/>
      <c r="I91" s="25"/>
    </row>
    <row r="92" spans="1:9" ht="18">
      <c r="A92" s="111" t="s">
        <v>150</v>
      </c>
      <c r="B92" s="98"/>
      <c r="C92" s="112">
        <f>'Model GDF 3'!C92</f>
        <v>191.5</v>
      </c>
      <c r="D92" s="100"/>
      <c r="E92" s="56">
        <v>2.5</v>
      </c>
      <c r="F92" s="56">
        <v>2.5</v>
      </c>
      <c r="G92" s="56">
        <v>2.5</v>
      </c>
      <c r="H92" s="56">
        <v>2.5</v>
      </c>
      <c r="I92" s="57">
        <v>2.5</v>
      </c>
    </row>
    <row r="93" spans="1:9" ht="18">
      <c r="A93" s="111" t="s">
        <v>151</v>
      </c>
      <c r="B93" s="98"/>
      <c r="C93" s="112">
        <f>'Model GDF 3'!C93</f>
        <v>245</v>
      </c>
      <c r="D93" s="100"/>
      <c r="E93" s="56">
        <f>$E$63</f>
        <v>9</v>
      </c>
      <c r="F93" s="56">
        <f>$E$63</f>
        <v>9</v>
      </c>
      <c r="G93" s="56">
        <f>$E$63</f>
        <v>9</v>
      </c>
      <c r="H93" s="56">
        <f>$E$63</f>
        <v>9</v>
      </c>
      <c r="I93" s="57">
        <f>$E$63</f>
        <v>9</v>
      </c>
    </row>
    <row r="94" spans="1:9" ht="18">
      <c r="A94" s="111" t="s">
        <v>152</v>
      </c>
      <c r="B94" s="98"/>
      <c r="C94" s="112">
        <f>'Model GDF 3'!C94</f>
        <v>1196.6666666666667</v>
      </c>
      <c r="D94" s="100"/>
      <c r="E94" s="56">
        <v>1</v>
      </c>
      <c r="F94" s="56">
        <v>1</v>
      </c>
      <c r="G94" s="56">
        <v>1</v>
      </c>
      <c r="H94" s="56">
        <v>1</v>
      </c>
      <c r="I94" s="57">
        <v>1</v>
      </c>
    </row>
    <row r="95" spans="1:9" ht="18">
      <c r="A95" s="111" t="s">
        <v>95</v>
      </c>
      <c r="B95" s="98"/>
      <c r="C95" s="112"/>
      <c r="D95" s="100"/>
      <c r="E95" s="56"/>
      <c r="F95" s="56"/>
      <c r="G95" s="56"/>
      <c r="H95" s="56"/>
      <c r="I95" s="57"/>
    </row>
    <row r="96" spans="1:9" ht="18">
      <c r="A96" s="42" t="s">
        <v>153</v>
      </c>
      <c r="B96" s="117"/>
      <c r="C96" s="112">
        <f>'Model GDF 3'!C96</f>
        <v>1280</v>
      </c>
      <c r="D96" s="81"/>
      <c r="E96" s="41">
        <f>1*(E63/2)</f>
        <v>4.5</v>
      </c>
      <c r="F96" s="43">
        <f>$E$96</f>
        <v>4.5</v>
      </c>
      <c r="G96" s="43">
        <f>$E$96</f>
        <v>4.5</v>
      </c>
      <c r="H96" s="43">
        <f>$E$96</f>
        <v>4.5</v>
      </c>
      <c r="I96" s="44">
        <f>$E$96</f>
        <v>4.5</v>
      </c>
    </row>
    <row r="97" spans="1:9" ht="18">
      <c r="A97" s="114"/>
      <c r="B97" s="98"/>
      <c r="C97" s="115"/>
      <c r="D97" s="100"/>
      <c r="E97" s="68"/>
      <c r="F97" s="68"/>
      <c r="G97" s="68"/>
      <c r="H97" s="68"/>
      <c r="I97" s="28"/>
    </row>
    <row r="98" spans="1:9" ht="18">
      <c r="A98" s="83" t="s">
        <v>154</v>
      </c>
      <c r="B98" s="98"/>
      <c r="C98" s="115"/>
      <c r="D98" s="100"/>
      <c r="E98" s="84">
        <v>9640.416666666668</v>
      </c>
      <c r="F98" s="85">
        <v>9640.416666666668</v>
      </c>
      <c r="G98" s="85">
        <v>9640.416666666668</v>
      </c>
      <c r="H98" s="85">
        <v>9640.416666666668</v>
      </c>
      <c r="I98" s="85">
        <v>9640.416666666668</v>
      </c>
    </row>
    <row r="99" spans="1:9" ht="18">
      <c r="A99" s="86" t="s">
        <v>155</v>
      </c>
      <c r="B99" s="52"/>
      <c r="C99" s="74"/>
      <c r="D99" s="53"/>
      <c r="E99" s="48">
        <f>E98*$C107</f>
        <v>1568.9334172486124</v>
      </c>
      <c r="F99" s="49">
        <f>F98*$C107</f>
        <v>1568.9334172486124</v>
      </c>
      <c r="G99" s="49">
        <f>G98*$C107</f>
        <v>1568.9334172486124</v>
      </c>
      <c r="H99" s="49">
        <f>H98*$C107</f>
        <v>1568.9334172486124</v>
      </c>
      <c r="I99" s="49">
        <f>I98*$C107</f>
        <v>1568.9334172486124</v>
      </c>
    </row>
    <row r="100" spans="1:9" ht="18">
      <c r="A100" s="100"/>
      <c r="B100" s="98"/>
      <c r="C100" s="115"/>
      <c r="D100" s="100"/>
      <c r="E100" s="89" t="s">
        <v>99</v>
      </c>
      <c r="F100" s="90">
        <f>AVERAGE(E98:I98)</f>
        <v>9640.416666666668</v>
      </c>
      <c r="G100" s="91" t="s">
        <v>100</v>
      </c>
      <c r="H100" s="92"/>
      <c r="I100" s="62">
        <f>AVERAGE(E99:I99)</f>
        <v>1568.9334172486124</v>
      </c>
    </row>
    <row r="101" spans="1:9" ht="18">
      <c r="A101" s="29"/>
      <c r="B101" s="103"/>
      <c r="C101" s="30"/>
      <c r="D101" s="29"/>
      <c r="E101" s="31"/>
      <c r="F101" s="31"/>
      <c r="G101" s="31"/>
      <c r="H101" s="31"/>
      <c r="I101" s="31"/>
    </row>
    <row r="102" spans="2:9" ht="18">
      <c r="B102" s="98"/>
      <c r="C102" s="99"/>
      <c r="D102" s="100"/>
      <c r="E102" s="98"/>
      <c r="F102" s="98"/>
      <c r="G102" s="98"/>
      <c r="H102" s="98"/>
      <c r="I102" s="98"/>
    </row>
    <row r="103" spans="1:9" ht="18">
      <c r="A103" s="32" t="s">
        <v>156</v>
      </c>
      <c r="B103" s="98"/>
      <c r="C103" s="88"/>
      <c r="D103" s="100"/>
      <c r="E103" s="84">
        <f>SUM(E18,E49,E69,E80,E87,E98)</f>
        <v>33952.379791666666</v>
      </c>
      <c r="F103" s="85">
        <f>SUM(F18,F49,F69,F80,F87,F98)</f>
        <v>33952.379791666666</v>
      </c>
      <c r="G103" s="85">
        <f>SUM(G18,G49,G69,G80,G87,G98)</f>
        <v>35725.51479166667</v>
      </c>
      <c r="H103" s="85">
        <f>SUM(H18,H49,H69,H80,H87,H98)</f>
        <v>31964.07197916667</v>
      </c>
      <c r="I103" s="33">
        <f>SUM(I18,I49,I69,I80,I87,I98)</f>
        <v>31810.544479166667</v>
      </c>
    </row>
    <row r="104" spans="1:9" ht="18">
      <c r="A104" s="32" t="s">
        <v>157</v>
      </c>
      <c r="B104" s="98"/>
      <c r="C104" s="88"/>
      <c r="D104" s="100"/>
      <c r="E104" s="84">
        <f>SUM(E19,E56,E74,E81,E88,E99)</f>
        <v>6934.489131244782</v>
      </c>
      <c r="F104" s="85">
        <f>SUM(F19,F56,F74,F81,F88,F99)</f>
        <v>6934.489131244782</v>
      </c>
      <c r="G104" s="85">
        <f>SUM(G19,G56,G74,G81,G88,G99)</f>
        <v>7399.909224145476</v>
      </c>
      <c r="H104" s="85">
        <f>SUM(H19,H56,H74,H81,H88,H99)</f>
        <v>6881.653948159822</v>
      </c>
      <c r="I104" s="33">
        <f>SUM(I19,I56,I74,I81,I88,I99)</f>
        <v>6836.214155388808</v>
      </c>
    </row>
    <row r="105" spans="2:9" ht="18">
      <c r="B105" s="98"/>
      <c r="C105" s="99"/>
      <c r="D105" s="100"/>
      <c r="E105" s="98"/>
      <c r="F105" s="98"/>
      <c r="G105" s="98"/>
      <c r="H105" s="98"/>
      <c r="I105" s="98"/>
    </row>
    <row r="106" spans="1:9" ht="18">
      <c r="A106" s="97" t="s">
        <v>158</v>
      </c>
      <c r="B106" s="98"/>
      <c r="C106" s="99"/>
      <c r="D106" s="100"/>
      <c r="E106" s="98"/>
      <c r="F106" s="98"/>
      <c r="G106" s="98"/>
      <c r="H106" s="98"/>
      <c r="I106" s="98"/>
    </row>
    <row r="107" spans="1:9" ht="18">
      <c r="A107" s="97" t="s">
        <v>159</v>
      </c>
      <c r="B107" s="98"/>
      <c r="C107" s="34">
        <f>(0.1*(1+0.1)^10)/((1+0.1)^10-1)</f>
        <v>0.16274539488251152</v>
      </c>
      <c r="D107" s="100"/>
      <c r="E107" s="98"/>
      <c r="F107" s="35" t="s">
        <v>160</v>
      </c>
      <c r="G107" s="36"/>
      <c r="H107" s="37"/>
      <c r="I107" s="38">
        <f>AVERAGE(E103:I103)</f>
        <v>33480.978166666675</v>
      </c>
    </row>
    <row r="108" spans="1:9" ht="18">
      <c r="A108" s="97" t="s">
        <v>161</v>
      </c>
      <c r="B108" s="98"/>
      <c r="C108" s="34">
        <f>(0.1*(1+0.1)^7)/((1+0.1)^7-1)</f>
        <v>0.20540549970059557</v>
      </c>
      <c r="D108" s="100"/>
      <c r="E108" s="98"/>
      <c r="F108" s="35" t="s">
        <v>162</v>
      </c>
      <c r="G108" s="36"/>
      <c r="H108" s="37"/>
      <c r="I108" s="38">
        <f>AVERAGE(E104:I104)</f>
        <v>6997.351118036733</v>
      </c>
    </row>
    <row r="109" spans="1:9" ht="18">
      <c r="A109" s="97" t="s">
        <v>163</v>
      </c>
      <c r="B109" s="98"/>
      <c r="C109" s="34">
        <f>(0.1*(1+0.1)^3)/((1+0.1)^3-1)</f>
        <v>0.4021148036253774</v>
      </c>
      <c r="D109" s="100"/>
      <c r="E109" s="98"/>
      <c r="F109" s="98"/>
      <c r="G109" s="98"/>
      <c r="H109" s="98"/>
      <c r="I109" s="98"/>
    </row>
    <row r="110" spans="1:9" ht="18">
      <c r="A110" s="97" t="s">
        <v>164</v>
      </c>
      <c r="B110" s="98"/>
      <c r="C110" s="99"/>
      <c r="D110" s="100"/>
      <c r="E110" s="98"/>
      <c r="F110" s="98"/>
      <c r="G110" s="98"/>
      <c r="H110" s="98"/>
      <c r="I110" s="98"/>
    </row>
  </sheetData>
  <printOptions/>
  <pageMargins left="0.35" right="0.53" top="0.76" bottom="0.33" header="0.27" footer="0.19"/>
  <pageSetup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0"/>
  <sheetViews>
    <sheetView zoomScale="75" zoomScaleNormal="75" workbookViewId="0" topLeftCell="A90">
      <selection activeCell="A90" sqref="A90:I110"/>
    </sheetView>
  </sheetViews>
  <sheetFormatPr defaultColWidth="9.140625" defaultRowHeight="12.75"/>
  <cols>
    <col min="1" max="1" width="61.00390625" style="97" customWidth="1"/>
    <col min="2" max="2" width="2.57421875" style="97" customWidth="1"/>
    <col min="3" max="3" width="11.57421875" style="97" customWidth="1"/>
    <col min="4" max="4" width="1.7109375" style="97" customWidth="1"/>
    <col min="5" max="6" width="12.28125" style="97" customWidth="1"/>
    <col min="7" max="7" width="12.00390625" style="97" customWidth="1"/>
    <col min="8" max="8" width="12.140625" style="97" customWidth="1"/>
    <col min="9" max="9" width="12.57421875" style="97" customWidth="1"/>
    <col min="10" max="16384" width="9.140625" style="97" customWidth="1"/>
  </cols>
  <sheetData>
    <row r="1" spans="2:9" ht="18">
      <c r="B1" s="98"/>
      <c r="C1" s="99"/>
      <c r="D1" s="100"/>
      <c r="E1" s="98"/>
      <c r="F1" s="98"/>
      <c r="G1" s="98"/>
      <c r="H1" s="98"/>
      <c r="I1" s="98"/>
    </row>
    <row r="2" spans="1:9" ht="18">
      <c r="A2" s="94" t="s">
        <v>168</v>
      </c>
      <c r="B2" s="94"/>
      <c r="C2" s="39"/>
      <c r="D2" s="95"/>
      <c r="E2" s="96"/>
      <c r="F2" s="96"/>
      <c r="G2" s="96"/>
      <c r="H2" s="96"/>
      <c r="I2" s="96"/>
    </row>
    <row r="3" spans="2:9" ht="18">
      <c r="B3" s="98"/>
      <c r="C3" s="99"/>
      <c r="D3" s="100"/>
      <c r="E3" s="98"/>
      <c r="F3" s="98"/>
      <c r="G3" s="98"/>
      <c r="H3" s="98"/>
      <c r="I3" s="98"/>
    </row>
    <row r="4" spans="2:9" ht="18">
      <c r="B4" s="98"/>
      <c r="C4" s="99" t="s">
        <v>80</v>
      </c>
      <c r="D4" s="100"/>
      <c r="E4" s="101" t="s">
        <v>81</v>
      </c>
      <c r="F4" s="101"/>
      <c r="G4" s="101"/>
      <c r="H4" s="101"/>
      <c r="I4" s="101"/>
    </row>
    <row r="5" spans="1:9" ht="18">
      <c r="A5" s="103" t="s">
        <v>82</v>
      </c>
      <c r="B5" s="103"/>
      <c r="C5" s="104" t="s">
        <v>83</v>
      </c>
      <c r="D5" s="100"/>
      <c r="E5" s="103" t="s">
        <v>84</v>
      </c>
      <c r="F5" s="103" t="s">
        <v>85</v>
      </c>
      <c r="G5" s="103" t="s">
        <v>86</v>
      </c>
      <c r="H5" s="103" t="s">
        <v>87</v>
      </c>
      <c r="I5" s="103" t="s">
        <v>88</v>
      </c>
    </row>
    <row r="6" spans="1:9" ht="18.75">
      <c r="A6" s="105" t="s">
        <v>89</v>
      </c>
      <c r="B6" s="98"/>
      <c r="C6" s="99"/>
      <c r="D6" s="100"/>
      <c r="E6" s="98"/>
      <c r="F6" s="98"/>
      <c r="G6" s="98"/>
      <c r="H6" s="98"/>
      <c r="I6" s="98"/>
    </row>
    <row r="7" spans="1:9" ht="18">
      <c r="A7" s="106" t="s">
        <v>90</v>
      </c>
      <c r="B7" s="107"/>
      <c r="C7" s="108"/>
      <c r="D7" s="109"/>
      <c r="E7" s="107"/>
      <c r="F7" s="107"/>
      <c r="G7" s="107"/>
      <c r="H7" s="107"/>
      <c r="I7" s="110"/>
    </row>
    <row r="8" spans="1:9" ht="18">
      <c r="A8" s="111" t="s">
        <v>91</v>
      </c>
      <c r="B8" s="98"/>
      <c r="C8" s="112">
        <f>'Model GDF 4'!C8</f>
        <v>65</v>
      </c>
      <c r="D8" s="100"/>
      <c r="E8" s="98">
        <f>Summary!$H$13</f>
        <v>2.5</v>
      </c>
      <c r="F8" s="98">
        <f>$E$8</f>
        <v>2.5</v>
      </c>
      <c r="G8" s="98">
        <f>F8</f>
        <v>2.5</v>
      </c>
      <c r="H8" s="98">
        <f>G8</f>
        <v>2.5</v>
      </c>
      <c r="I8" s="113">
        <f>$E$8</f>
        <v>2.5</v>
      </c>
    </row>
    <row r="9" spans="1:9" ht="18">
      <c r="A9" s="111" t="s">
        <v>92</v>
      </c>
      <c r="B9" s="98"/>
      <c r="C9" s="112">
        <f>'Model GDF 4'!C9</f>
        <v>351</v>
      </c>
      <c r="D9" s="100"/>
      <c r="E9" s="98">
        <f>$E$8</f>
        <v>2.5</v>
      </c>
      <c r="F9" s="98">
        <f>$E$8</f>
        <v>2.5</v>
      </c>
      <c r="G9" s="98">
        <f aca="true" t="shared" si="0" ref="G9:H11">$E$8</f>
        <v>2.5</v>
      </c>
      <c r="H9" s="98">
        <f t="shared" si="0"/>
        <v>2.5</v>
      </c>
      <c r="I9" s="113">
        <f>$E$8</f>
        <v>2.5</v>
      </c>
    </row>
    <row r="10" spans="1:9" ht="18">
      <c r="A10" s="111" t="s">
        <v>93</v>
      </c>
      <c r="B10" s="98"/>
      <c r="C10" s="112">
        <f>'Model GDF 4'!C10</f>
        <v>178</v>
      </c>
      <c r="D10" s="100"/>
      <c r="E10" s="98">
        <f>$E$8</f>
        <v>2.5</v>
      </c>
      <c r="F10" s="98">
        <f>$E$8</f>
        <v>2.5</v>
      </c>
      <c r="G10" s="98">
        <f t="shared" si="0"/>
        <v>2.5</v>
      </c>
      <c r="H10" s="98">
        <f t="shared" si="0"/>
        <v>2.5</v>
      </c>
      <c r="I10" s="113">
        <f>$E$8</f>
        <v>2.5</v>
      </c>
    </row>
    <row r="11" spans="1:9" ht="18">
      <c r="A11" s="114" t="s">
        <v>94</v>
      </c>
      <c r="B11" s="98"/>
      <c r="C11" s="112">
        <f>'Model GDF 4'!C11</f>
        <v>55</v>
      </c>
      <c r="D11" s="100"/>
      <c r="E11" s="98">
        <f>$E$8</f>
        <v>2.5</v>
      </c>
      <c r="F11" s="98">
        <f>$E$8</f>
        <v>2.5</v>
      </c>
      <c r="G11" s="98">
        <f t="shared" si="0"/>
        <v>2.5</v>
      </c>
      <c r="H11" s="98">
        <f t="shared" si="0"/>
        <v>2.5</v>
      </c>
      <c r="I11" s="113">
        <f>$E$8</f>
        <v>2.5</v>
      </c>
    </row>
    <row r="12" spans="1:9" ht="18">
      <c r="A12" s="114" t="s">
        <v>95</v>
      </c>
      <c r="B12" s="98"/>
      <c r="C12" s="115"/>
      <c r="D12" s="100"/>
      <c r="E12" s="98"/>
      <c r="F12" s="98"/>
      <c r="G12" s="98"/>
      <c r="H12" s="98"/>
      <c r="I12" s="113"/>
    </row>
    <row r="13" spans="1:9" ht="18">
      <c r="A13" s="111" t="s">
        <v>96</v>
      </c>
      <c r="B13" s="98"/>
      <c r="C13" s="112">
        <f>'Model GDF 4'!C13</f>
        <v>80</v>
      </c>
      <c r="D13" s="100"/>
      <c r="E13" s="98">
        <f aca="true" t="shared" si="1" ref="E13:I16">$E$8</f>
        <v>2.5</v>
      </c>
      <c r="F13" s="98">
        <f t="shared" si="1"/>
        <v>2.5</v>
      </c>
      <c r="G13" s="98">
        <f t="shared" si="1"/>
        <v>2.5</v>
      </c>
      <c r="H13" s="98">
        <f t="shared" si="1"/>
        <v>2.5</v>
      </c>
      <c r="I13" s="113">
        <f t="shared" si="1"/>
        <v>2.5</v>
      </c>
    </row>
    <row r="14" spans="1:9" ht="18">
      <c r="A14" s="111" t="s">
        <v>92</v>
      </c>
      <c r="B14" s="98"/>
      <c r="C14" s="112">
        <f>'Model GDF 4'!C14</f>
        <v>160</v>
      </c>
      <c r="D14" s="100"/>
      <c r="E14" s="98">
        <f t="shared" si="1"/>
        <v>2.5</v>
      </c>
      <c r="F14" s="98">
        <f t="shared" si="1"/>
        <v>2.5</v>
      </c>
      <c r="G14" s="98">
        <f t="shared" si="1"/>
        <v>2.5</v>
      </c>
      <c r="H14" s="98">
        <f t="shared" si="1"/>
        <v>2.5</v>
      </c>
      <c r="I14" s="113">
        <f t="shared" si="1"/>
        <v>2.5</v>
      </c>
    </row>
    <row r="15" spans="1:9" ht="18">
      <c r="A15" s="111" t="s">
        <v>93</v>
      </c>
      <c r="B15" s="98"/>
      <c r="C15" s="112">
        <f>'Model GDF 4'!C15</f>
        <v>160</v>
      </c>
      <c r="D15" s="100"/>
      <c r="E15" s="98">
        <f t="shared" si="1"/>
        <v>2.5</v>
      </c>
      <c r="F15" s="98">
        <f t="shared" si="1"/>
        <v>2.5</v>
      </c>
      <c r="G15" s="98">
        <f t="shared" si="1"/>
        <v>2.5</v>
      </c>
      <c r="H15" s="98">
        <f t="shared" si="1"/>
        <v>2.5</v>
      </c>
      <c r="I15" s="113">
        <f t="shared" si="1"/>
        <v>2.5</v>
      </c>
    </row>
    <row r="16" spans="1:9" ht="18">
      <c r="A16" s="116" t="s">
        <v>94</v>
      </c>
      <c r="B16" s="117"/>
      <c r="C16" s="112">
        <f>'Model GDF 4'!C16</f>
        <v>80</v>
      </c>
      <c r="D16" s="119"/>
      <c r="E16" s="98">
        <f t="shared" si="1"/>
        <v>2.5</v>
      </c>
      <c r="F16" s="98">
        <f t="shared" si="1"/>
        <v>2.5</v>
      </c>
      <c r="G16" s="98">
        <f t="shared" si="1"/>
        <v>2.5</v>
      </c>
      <c r="H16" s="98">
        <f t="shared" si="1"/>
        <v>2.5</v>
      </c>
      <c r="I16" s="113">
        <f t="shared" si="1"/>
        <v>2.5</v>
      </c>
    </row>
    <row r="17" spans="1:9" ht="18">
      <c r="A17" s="116"/>
      <c r="B17" s="80"/>
      <c r="C17" s="118"/>
      <c r="D17" s="81"/>
      <c r="E17" s="80"/>
      <c r="F17" s="80"/>
      <c r="G17" s="80"/>
      <c r="H17" s="80"/>
      <c r="I17" s="82"/>
    </row>
    <row r="18" spans="1:9" ht="18">
      <c r="A18" s="83" t="s">
        <v>97</v>
      </c>
      <c r="E18" s="84">
        <v>2822.5</v>
      </c>
      <c r="F18" s="85">
        <v>2822.5</v>
      </c>
      <c r="G18" s="85">
        <v>2822.5</v>
      </c>
      <c r="H18" s="85">
        <v>2822.5</v>
      </c>
      <c r="I18" s="85">
        <v>2822.5</v>
      </c>
    </row>
    <row r="19" spans="1:9" ht="18">
      <c r="A19" s="86" t="s">
        <v>98</v>
      </c>
      <c r="B19" s="87"/>
      <c r="C19" s="87"/>
      <c r="D19" s="87"/>
      <c r="E19" s="48">
        <f>E18*$C$108</f>
        <v>579.757022904931</v>
      </c>
      <c r="F19" s="49">
        <f>F18*$C$108</f>
        <v>579.757022904931</v>
      </c>
      <c r="G19" s="49">
        <f>G18*$C$108</f>
        <v>579.757022904931</v>
      </c>
      <c r="H19" s="49">
        <f>H18*$C$108</f>
        <v>579.757022904931</v>
      </c>
      <c r="I19" s="49">
        <f>I18*$C$108</f>
        <v>579.757022904931</v>
      </c>
    </row>
    <row r="20" spans="1:9" ht="18">
      <c r="A20" s="111"/>
      <c r="B20" s="98"/>
      <c r="C20" s="115"/>
      <c r="D20" s="100"/>
      <c r="E20" s="89" t="s">
        <v>99</v>
      </c>
      <c r="F20" s="90">
        <f>AVERAGE(E18:I18)</f>
        <v>2822.5</v>
      </c>
      <c r="G20" s="91" t="s">
        <v>100</v>
      </c>
      <c r="H20" s="92"/>
      <c r="I20" s="62">
        <f>AVERAGE(E19:I19)</f>
        <v>579.757022904931</v>
      </c>
    </row>
    <row r="21" spans="1:9" ht="18.75">
      <c r="A21" s="105" t="s">
        <v>101</v>
      </c>
      <c r="B21" s="98"/>
      <c r="C21" s="112"/>
      <c r="D21" s="100"/>
      <c r="E21" s="98"/>
      <c r="F21" s="98"/>
      <c r="G21" s="98"/>
      <c r="H21" s="98"/>
      <c r="I21" s="98"/>
    </row>
    <row r="22" spans="1:9" ht="18">
      <c r="A22" s="63" t="s">
        <v>102</v>
      </c>
      <c r="B22" s="107"/>
      <c r="C22" s="64"/>
      <c r="D22" s="109"/>
      <c r="E22" s="107"/>
      <c r="F22" s="107"/>
      <c r="G22" s="107"/>
      <c r="H22" s="107"/>
      <c r="I22" s="110"/>
    </row>
    <row r="23" spans="1:9" ht="18">
      <c r="A23" s="114" t="s">
        <v>103</v>
      </c>
      <c r="B23" s="98"/>
      <c r="C23" s="112">
        <f>'Model GDF 4'!C23</f>
        <v>200</v>
      </c>
      <c r="D23" s="100"/>
      <c r="E23" s="65">
        <f>Summary!$H$14</f>
        <v>16.25</v>
      </c>
      <c r="F23" s="9">
        <f>$E$23</f>
        <v>16.25</v>
      </c>
      <c r="G23" s="9"/>
      <c r="H23" s="9"/>
      <c r="I23" s="10"/>
    </row>
    <row r="24" spans="1:9" ht="18">
      <c r="A24" s="114" t="s">
        <v>104</v>
      </c>
      <c r="B24" s="98"/>
      <c r="C24" s="112">
        <f>'Model GDF 4'!C24</f>
        <v>231.25</v>
      </c>
      <c r="D24" s="100"/>
      <c r="E24" s="9"/>
      <c r="F24" s="9"/>
      <c r="G24" s="9">
        <f>$E$23</f>
        <v>16.25</v>
      </c>
      <c r="H24" s="9"/>
      <c r="I24" s="10"/>
    </row>
    <row r="25" spans="1:9" ht="18">
      <c r="A25" s="114" t="s">
        <v>105</v>
      </c>
      <c r="B25" s="98"/>
      <c r="C25" s="112">
        <f>'Model GDF 4'!C25</f>
        <v>208.83</v>
      </c>
      <c r="D25" s="100"/>
      <c r="E25" s="9"/>
      <c r="F25" s="9"/>
      <c r="G25" s="9"/>
      <c r="H25" s="9">
        <f>$E$23</f>
        <v>16.25</v>
      </c>
      <c r="I25" s="10"/>
    </row>
    <row r="26" spans="1:9" ht="18">
      <c r="A26" s="114" t="s">
        <v>106</v>
      </c>
      <c r="B26" s="98"/>
      <c r="C26" s="112">
        <f>'Model GDF 4'!C26</f>
        <v>224.78</v>
      </c>
      <c r="D26" s="100"/>
      <c r="E26" s="9"/>
      <c r="F26" s="9"/>
      <c r="G26" s="9"/>
      <c r="H26" s="9"/>
      <c r="I26" s="10">
        <f>$E$23</f>
        <v>16.25</v>
      </c>
    </row>
    <row r="27" spans="1:9" ht="18">
      <c r="A27" s="114" t="s">
        <v>107</v>
      </c>
      <c r="B27" s="98"/>
      <c r="C27" s="112">
        <f>'Model GDF 4'!C27</f>
        <v>381.82</v>
      </c>
      <c r="D27" s="100"/>
      <c r="E27" s="9">
        <f>E$23</f>
        <v>16.25</v>
      </c>
      <c r="F27" s="9">
        <f>F$23</f>
        <v>16.25</v>
      </c>
      <c r="G27" s="9"/>
      <c r="H27" s="9"/>
      <c r="I27" s="10"/>
    </row>
    <row r="28" spans="1:9" ht="18">
      <c r="A28" s="114" t="s">
        <v>108</v>
      </c>
      <c r="B28" s="98"/>
      <c r="C28" s="112">
        <f>'Model GDF 4'!C28</f>
        <v>467.87</v>
      </c>
      <c r="D28" s="100"/>
      <c r="E28" s="9"/>
      <c r="F28" s="9"/>
      <c r="G28" s="9">
        <f>G$24</f>
        <v>16.25</v>
      </c>
      <c r="H28" s="9"/>
      <c r="I28" s="10"/>
    </row>
    <row r="29" spans="1:9" ht="18">
      <c r="A29" s="114" t="s">
        <v>109</v>
      </c>
      <c r="B29" s="98"/>
      <c r="C29" s="112">
        <f>'Model GDF 4'!C29</f>
        <v>400.11</v>
      </c>
      <c r="D29" s="100"/>
      <c r="E29" s="9"/>
      <c r="F29" s="9"/>
      <c r="G29" s="9"/>
      <c r="H29" s="9">
        <f>H$25</f>
        <v>16.25</v>
      </c>
      <c r="I29" s="10"/>
    </row>
    <row r="30" spans="1:9" ht="18">
      <c r="A30" s="114" t="s">
        <v>110</v>
      </c>
      <c r="B30" s="98"/>
      <c r="C30" s="112">
        <f>'Model GDF 4'!C30</f>
        <v>220.49</v>
      </c>
      <c r="D30" s="100"/>
      <c r="E30" s="9"/>
      <c r="F30" s="9"/>
      <c r="G30" s="9"/>
      <c r="H30" s="9"/>
      <c r="I30" s="10">
        <f>I$26</f>
        <v>16.25</v>
      </c>
    </row>
    <row r="31" spans="1:9" ht="18">
      <c r="A31" s="114" t="s">
        <v>111</v>
      </c>
      <c r="B31" s="98"/>
      <c r="C31" s="115"/>
      <c r="D31" s="100"/>
      <c r="E31" s="9"/>
      <c r="F31" s="9"/>
      <c r="G31" s="9"/>
      <c r="H31" s="9"/>
      <c r="I31" s="10"/>
    </row>
    <row r="32" spans="1:9" ht="18">
      <c r="A32" s="114" t="s">
        <v>112</v>
      </c>
      <c r="B32" s="98"/>
      <c r="C32" s="112">
        <f>'Model GDF 4'!C32</f>
        <v>7500</v>
      </c>
      <c r="D32" s="100"/>
      <c r="E32" s="9"/>
      <c r="F32" s="9"/>
      <c r="G32" s="9"/>
      <c r="H32" s="9">
        <v>1</v>
      </c>
      <c r="I32" s="10"/>
    </row>
    <row r="33" spans="1:9" ht="18">
      <c r="A33" s="114" t="s">
        <v>113</v>
      </c>
      <c r="B33" s="98"/>
      <c r="C33" s="112">
        <f>'Model GDF 4'!C33</f>
        <v>9000</v>
      </c>
      <c r="D33" s="100"/>
      <c r="E33" s="9"/>
      <c r="F33" s="9"/>
      <c r="G33" s="9"/>
      <c r="H33" s="9"/>
      <c r="I33" s="10">
        <v>1</v>
      </c>
    </row>
    <row r="34" spans="1:9" ht="18">
      <c r="A34" s="111" t="s">
        <v>114</v>
      </c>
      <c r="B34" s="98"/>
      <c r="C34" s="112"/>
      <c r="D34" s="100"/>
      <c r="E34" s="9"/>
      <c r="F34" s="9"/>
      <c r="G34" s="9"/>
      <c r="H34" s="9"/>
      <c r="I34" s="10"/>
    </row>
    <row r="35" spans="1:9" ht="18">
      <c r="A35" s="111" t="s">
        <v>115</v>
      </c>
      <c r="B35" s="98"/>
      <c r="C35" s="112">
        <f>'Model GDF 4'!C35</f>
        <v>7500</v>
      </c>
      <c r="D35" s="100"/>
      <c r="E35" s="9">
        <v>1</v>
      </c>
      <c r="F35" s="9">
        <v>1</v>
      </c>
      <c r="G35" s="9">
        <v>1</v>
      </c>
      <c r="H35" s="9"/>
      <c r="I35" s="10"/>
    </row>
    <row r="36" spans="1:9" ht="18">
      <c r="A36" s="114" t="s">
        <v>95</v>
      </c>
      <c r="B36" s="98"/>
      <c r="C36" s="112"/>
      <c r="D36" s="100"/>
      <c r="E36" s="9"/>
      <c r="F36" s="9"/>
      <c r="G36" s="9"/>
      <c r="H36" s="9"/>
      <c r="I36" s="10"/>
    </row>
    <row r="37" spans="1:9" ht="18">
      <c r="A37" s="114" t="s">
        <v>103</v>
      </c>
      <c r="B37" s="98"/>
      <c r="C37" s="112">
        <f>'Model GDF 4'!C37</f>
        <v>86.04</v>
      </c>
      <c r="D37" s="100"/>
      <c r="E37" s="9">
        <f>E$23</f>
        <v>16.25</v>
      </c>
      <c r="F37" s="9">
        <f>F$23</f>
        <v>16.25</v>
      </c>
      <c r="G37" s="9"/>
      <c r="H37" s="9"/>
      <c r="I37" s="10"/>
    </row>
    <row r="38" spans="1:9" ht="18">
      <c r="A38" s="114" t="s">
        <v>104</v>
      </c>
      <c r="B38" s="98"/>
      <c r="C38" s="112">
        <f>'Model GDF 4'!C38</f>
        <v>107.56</v>
      </c>
      <c r="D38" s="100"/>
      <c r="E38" s="9"/>
      <c r="F38" s="9"/>
      <c r="G38" s="9">
        <f>G$24</f>
        <v>16.25</v>
      </c>
      <c r="H38" s="9"/>
      <c r="I38" s="10"/>
    </row>
    <row r="39" spans="1:9" ht="18">
      <c r="A39" s="114" t="s">
        <v>105</v>
      </c>
      <c r="B39" s="98"/>
      <c r="C39" s="112">
        <f>'Model GDF 4'!C39</f>
        <v>48.4</v>
      </c>
      <c r="D39" s="100"/>
      <c r="E39" s="9"/>
      <c r="F39" s="9"/>
      <c r="G39" s="9"/>
      <c r="H39" s="9">
        <f>H$25</f>
        <v>16.25</v>
      </c>
      <c r="I39" s="10"/>
    </row>
    <row r="40" spans="1:9" ht="18">
      <c r="A40" s="114" t="s">
        <v>106</v>
      </c>
      <c r="B40" s="98"/>
      <c r="C40" s="112">
        <f>'Model GDF 4'!C40</f>
        <v>53.78</v>
      </c>
      <c r="D40" s="100"/>
      <c r="E40" s="9"/>
      <c r="F40" s="9"/>
      <c r="G40" s="9"/>
      <c r="H40" s="9"/>
      <c r="I40" s="10">
        <f>I$26</f>
        <v>16.25</v>
      </c>
    </row>
    <row r="41" spans="1:9" ht="18">
      <c r="A41" s="114" t="s">
        <v>107</v>
      </c>
      <c r="B41" s="68"/>
      <c r="C41" s="112">
        <f>'Model GDF 4'!C41</f>
        <v>172.08</v>
      </c>
      <c r="D41" s="100"/>
      <c r="E41" s="9">
        <f>E$23</f>
        <v>16.25</v>
      </c>
      <c r="F41" s="9">
        <f>F$23</f>
        <v>16.25</v>
      </c>
      <c r="G41" s="9"/>
      <c r="H41" s="9"/>
      <c r="I41" s="10"/>
    </row>
    <row r="42" spans="1:9" ht="18">
      <c r="A42" s="114" t="s">
        <v>108</v>
      </c>
      <c r="B42" s="68"/>
      <c r="C42" s="112">
        <f>'Model GDF 4'!C42</f>
        <v>215.12</v>
      </c>
      <c r="D42" s="100"/>
      <c r="E42" s="9"/>
      <c r="F42" s="9"/>
      <c r="G42" s="9">
        <f>G$24</f>
        <v>16.25</v>
      </c>
      <c r="H42" s="9"/>
      <c r="I42" s="10"/>
    </row>
    <row r="43" spans="1:9" ht="18">
      <c r="A43" s="114" t="s">
        <v>109</v>
      </c>
      <c r="B43" s="68"/>
      <c r="C43" s="112">
        <f>'Model GDF 4'!C43</f>
        <v>96.8</v>
      </c>
      <c r="D43" s="100"/>
      <c r="E43" s="9"/>
      <c r="F43" s="9"/>
      <c r="G43" s="9"/>
      <c r="H43" s="9">
        <f>H$25</f>
        <v>16.25</v>
      </c>
      <c r="I43" s="10"/>
    </row>
    <row r="44" spans="1:9" ht="18">
      <c r="A44" s="114" t="s">
        <v>110</v>
      </c>
      <c r="B44" s="68"/>
      <c r="C44" s="112">
        <f>'Model GDF 4'!C44</f>
        <v>107.56</v>
      </c>
      <c r="D44" s="100"/>
      <c r="E44" s="9"/>
      <c r="F44" s="9"/>
      <c r="G44" s="9"/>
      <c r="H44" s="9"/>
      <c r="I44" s="10">
        <f>I$26</f>
        <v>16.25</v>
      </c>
    </row>
    <row r="45" spans="1:9" ht="18">
      <c r="A45" s="114" t="s">
        <v>116</v>
      </c>
      <c r="B45" s="98"/>
      <c r="C45" s="112">
        <f>'Model GDF 4'!C45</f>
        <v>1505.78</v>
      </c>
      <c r="D45" s="100"/>
      <c r="E45" s="9"/>
      <c r="F45" s="9"/>
      <c r="G45" s="9"/>
      <c r="H45" s="9">
        <v>1</v>
      </c>
      <c r="I45" s="10"/>
    </row>
    <row r="46" spans="1:9" ht="18">
      <c r="A46" s="114" t="s">
        <v>117</v>
      </c>
      <c r="B46" s="98"/>
      <c r="C46" s="112">
        <f>'Model GDF 4'!C46</f>
        <v>1290.67</v>
      </c>
      <c r="D46" s="100"/>
      <c r="E46" s="9"/>
      <c r="F46" s="9"/>
      <c r="G46" s="9"/>
      <c r="H46" s="9"/>
      <c r="I46" s="10">
        <v>1</v>
      </c>
    </row>
    <row r="47" spans="1:9" ht="18">
      <c r="A47" s="116" t="s">
        <v>118</v>
      </c>
      <c r="B47" s="117"/>
      <c r="C47" s="112">
        <f>'Model GDF 4'!C47</f>
        <v>1506</v>
      </c>
      <c r="D47" s="81"/>
      <c r="E47" s="11">
        <v>1</v>
      </c>
      <c r="F47" s="11">
        <v>1</v>
      </c>
      <c r="G47" s="11">
        <v>1</v>
      </c>
      <c r="H47" s="11"/>
      <c r="I47" s="12"/>
    </row>
    <row r="48" spans="1:9" ht="18">
      <c r="A48" s="114"/>
      <c r="B48" s="68"/>
      <c r="C48" s="115"/>
      <c r="D48" s="100"/>
      <c r="E48" s="71"/>
      <c r="F48" s="71"/>
      <c r="G48" s="71"/>
      <c r="H48" s="71"/>
      <c r="I48" s="72"/>
    </row>
    <row r="49" spans="1:9" ht="18">
      <c r="A49" s="83" t="s">
        <v>119</v>
      </c>
      <c r="B49" s="68"/>
      <c r="C49" s="115"/>
      <c r="D49" s="100"/>
      <c r="E49" s="84">
        <v>22655.025</v>
      </c>
      <c r="F49" s="85">
        <v>22655.025</v>
      </c>
      <c r="G49" s="85">
        <v>25610.25</v>
      </c>
      <c r="H49" s="85">
        <v>21260.555</v>
      </c>
      <c r="I49" s="85">
        <v>20148.082499999997</v>
      </c>
    </row>
    <row r="50" spans="1:9" ht="18">
      <c r="A50" s="114" t="s">
        <v>120</v>
      </c>
      <c r="B50" s="68"/>
      <c r="C50" s="115"/>
      <c r="D50" s="100"/>
      <c r="E50" s="115">
        <v>4648.15</v>
      </c>
      <c r="F50" s="115">
        <v>4648.15</v>
      </c>
      <c r="G50" s="115">
        <v>5505.6625</v>
      </c>
      <c r="H50" s="115">
        <v>4179.9875</v>
      </c>
      <c r="I50" s="73">
        <v>4526.6</v>
      </c>
    </row>
    <row r="51" spans="1:9" ht="18">
      <c r="A51" s="114" t="s">
        <v>121</v>
      </c>
      <c r="B51" s="68"/>
      <c r="C51" s="115"/>
      <c r="D51" s="100"/>
      <c r="E51" s="115">
        <v>9000.875</v>
      </c>
      <c r="F51" s="115">
        <v>9000.875</v>
      </c>
      <c r="G51" s="115">
        <v>11098.5875</v>
      </c>
      <c r="H51" s="115">
        <v>8074.7875</v>
      </c>
      <c r="I51" s="73">
        <v>5330.8125</v>
      </c>
    </row>
    <row r="52" spans="1:9" ht="18">
      <c r="A52" s="114" t="s">
        <v>122</v>
      </c>
      <c r="B52" s="68"/>
      <c r="C52" s="115"/>
      <c r="D52" s="100"/>
      <c r="E52" s="74">
        <f>E49-E50-E51</f>
        <v>9006</v>
      </c>
      <c r="F52" s="74">
        <f>F49-F50-F51</f>
        <v>9006</v>
      </c>
      <c r="G52" s="74">
        <f>G49-G50-G51</f>
        <v>9006.000000000002</v>
      </c>
      <c r="H52" s="74">
        <f>H49-H50-H51</f>
        <v>9005.78</v>
      </c>
      <c r="I52" s="75">
        <f>I49-I50-I51</f>
        <v>10290.669999999996</v>
      </c>
    </row>
    <row r="53" spans="1:9" ht="18">
      <c r="A53" s="114" t="s">
        <v>123</v>
      </c>
      <c r="B53" s="68"/>
      <c r="C53" s="115"/>
      <c r="D53" s="100"/>
      <c r="E53" s="115">
        <f>E50*$C$109</f>
        <v>1869.0899244712978</v>
      </c>
      <c r="F53" s="115">
        <f>F50*$C$109</f>
        <v>1869.0899244712978</v>
      </c>
      <c r="G53" s="115">
        <f>G50*$C$109</f>
        <v>2213.9083950151044</v>
      </c>
      <c r="H53" s="115">
        <f>H50*$C$109</f>
        <v>1680.8348527190321</v>
      </c>
      <c r="I53" s="73">
        <f>I50*$C$109</f>
        <v>1820.2128700906335</v>
      </c>
    </row>
    <row r="54" spans="1:9" ht="18">
      <c r="A54" s="114" t="s">
        <v>124</v>
      </c>
      <c r="B54" s="68"/>
      <c r="C54" s="115"/>
      <c r="D54" s="100"/>
      <c r="E54" s="115">
        <f>E51*$C$108</f>
        <v>1848.829227117598</v>
      </c>
      <c r="F54" s="115">
        <f>F51*$C$108</f>
        <v>1848.829227117598</v>
      </c>
      <c r="G54" s="115">
        <f>G51*$C$108</f>
        <v>2279.7109114082837</v>
      </c>
      <c r="H54" s="115">
        <f>H51*$C$108</f>
        <v>1658.605761413623</v>
      </c>
      <c r="I54" s="73">
        <f>I51*$C$108</f>
        <v>1094.978205372681</v>
      </c>
    </row>
    <row r="55" spans="1:9" ht="18">
      <c r="A55" s="114" t="s">
        <v>125</v>
      </c>
      <c r="B55" s="68"/>
      <c r="C55" s="115"/>
      <c r="D55" s="100"/>
      <c r="E55" s="76">
        <f>E52*$C$107</f>
        <v>1465.6850263118988</v>
      </c>
      <c r="F55" s="77">
        <f>F52*$C$107</f>
        <v>1465.6850263118988</v>
      </c>
      <c r="G55" s="77">
        <f>G52*$C$107</f>
        <v>1465.685026311899</v>
      </c>
      <c r="H55" s="77">
        <f>H52*$C$107</f>
        <v>1465.6492223250248</v>
      </c>
      <c r="I55" s="51">
        <f>I52*$C$107</f>
        <v>1674.7591527556142</v>
      </c>
    </row>
    <row r="56" spans="1:9" ht="18">
      <c r="A56" s="86" t="s">
        <v>126</v>
      </c>
      <c r="B56" s="52"/>
      <c r="C56" s="74"/>
      <c r="D56" s="53"/>
      <c r="E56" s="54">
        <f>SUM(E53:E55)</f>
        <v>5183.604177900795</v>
      </c>
      <c r="F56" s="55">
        <f>SUM(F53:F55)</f>
        <v>5183.604177900795</v>
      </c>
      <c r="G56" s="55">
        <f>SUM(G53:G55)</f>
        <v>5959.304332735288</v>
      </c>
      <c r="H56" s="55">
        <f>SUM(H53:H55)</f>
        <v>4805.089836457681</v>
      </c>
      <c r="I56" s="55">
        <f>SUM(I53:I55)</f>
        <v>4589.950228218929</v>
      </c>
    </row>
    <row r="57" spans="1:9" ht="18">
      <c r="A57" s="100"/>
      <c r="B57" s="68"/>
      <c r="C57" s="88"/>
      <c r="D57" s="100"/>
      <c r="E57" s="89" t="s">
        <v>99</v>
      </c>
      <c r="F57" s="90">
        <f>AVERAGE(E49:I49)</f>
        <v>22465.7875</v>
      </c>
      <c r="G57" s="91" t="s">
        <v>100</v>
      </c>
      <c r="H57" s="92"/>
      <c r="I57" s="62">
        <f>AVERAGE(E56:I56)</f>
        <v>5144.310550642697</v>
      </c>
    </row>
    <row r="58" spans="1:9" ht="18.75">
      <c r="A58" s="105" t="s">
        <v>127</v>
      </c>
      <c r="B58" s="98"/>
      <c r="C58" s="99"/>
      <c r="D58" s="100"/>
      <c r="E58" s="98"/>
      <c r="F58" s="98"/>
      <c r="G58" s="98"/>
      <c r="H58" s="98"/>
      <c r="I58" s="98"/>
    </row>
    <row r="59" spans="1:9" ht="18">
      <c r="A59" s="106" t="s">
        <v>128</v>
      </c>
      <c r="B59" s="107"/>
      <c r="C59" s="108"/>
      <c r="D59" s="109"/>
      <c r="E59" s="107"/>
      <c r="F59" s="107"/>
      <c r="G59" s="107"/>
      <c r="H59" s="107"/>
      <c r="I59" s="110"/>
    </row>
    <row r="60" spans="1:9" ht="18">
      <c r="A60" s="111" t="s">
        <v>129</v>
      </c>
      <c r="B60" s="98"/>
      <c r="C60" s="112">
        <f>'Model GDF 4'!C60</f>
        <v>54.20125</v>
      </c>
      <c r="D60" s="100"/>
      <c r="E60" s="13"/>
      <c r="F60" s="13"/>
      <c r="G60" s="13"/>
      <c r="H60" s="13">
        <f>$E$23</f>
        <v>16.25</v>
      </c>
      <c r="I60" s="10">
        <f>$E$23</f>
        <v>16.25</v>
      </c>
    </row>
    <row r="61" spans="1:9" ht="18">
      <c r="A61" s="114" t="s">
        <v>130</v>
      </c>
      <c r="B61" s="98"/>
      <c r="E61" s="14"/>
      <c r="F61" s="14"/>
      <c r="G61" s="14"/>
      <c r="H61" s="14"/>
      <c r="I61" s="15"/>
    </row>
    <row r="62" spans="1:9" ht="18">
      <c r="A62" s="114" t="s">
        <v>131</v>
      </c>
      <c r="B62" s="98"/>
      <c r="C62" s="115"/>
      <c r="D62" s="100"/>
      <c r="E62" s="13"/>
      <c r="F62" s="13"/>
      <c r="G62" s="13"/>
      <c r="H62" s="13"/>
      <c r="I62" s="10"/>
    </row>
    <row r="63" spans="1:9" ht="18">
      <c r="A63" s="111" t="s">
        <v>132</v>
      </c>
      <c r="B63" s="98"/>
      <c r="C63" s="112">
        <f>'Model GDF 4'!C63</f>
        <v>200</v>
      </c>
      <c r="D63" s="100"/>
      <c r="E63" s="8">
        <f>Summary!$H$15</f>
        <v>12</v>
      </c>
      <c r="F63" s="13">
        <f>$E$63</f>
        <v>12</v>
      </c>
      <c r="G63" s="13">
        <f>$E$63</f>
        <v>12</v>
      </c>
      <c r="H63" s="13"/>
      <c r="I63" s="10"/>
    </row>
    <row r="64" spans="1:9" ht="18">
      <c r="A64" s="111" t="s">
        <v>133</v>
      </c>
      <c r="B64" s="98"/>
      <c r="C64" s="112"/>
      <c r="D64" s="100"/>
      <c r="E64" s="13"/>
      <c r="F64" s="13"/>
      <c r="G64" s="13"/>
      <c r="H64" s="13"/>
      <c r="I64" s="10"/>
    </row>
    <row r="65" spans="1:9" ht="18">
      <c r="A65" s="114" t="s">
        <v>95</v>
      </c>
      <c r="B65" s="98"/>
      <c r="C65" s="115"/>
      <c r="D65" s="100"/>
      <c r="E65" s="13"/>
      <c r="F65" s="13"/>
      <c r="G65" s="13"/>
      <c r="H65" s="13"/>
      <c r="I65" s="10"/>
    </row>
    <row r="66" spans="1:9" ht="18">
      <c r="A66" s="111" t="s">
        <v>134</v>
      </c>
      <c r="B66" s="98"/>
      <c r="C66" s="112">
        <f>'Model GDF 4'!C66</f>
        <v>160</v>
      </c>
      <c r="D66" s="100"/>
      <c r="E66" s="13"/>
      <c r="F66" s="13"/>
      <c r="G66" s="13"/>
      <c r="H66" s="13">
        <f>$E$23</f>
        <v>16.25</v>
      </c>
      <c r="I66" s="10">
        <f>$E$23</f>
        <v>16.25</v>
      </c>
    </row>
    <row r="67" spans="1:9" ht="18">
      <c r="A67" s="42" t="s">
        <v>132</v>
      </c>
      <c r="B67" s="117"/>
      <c r="C67" s="112">
        <f>'Model GDF 4'!C67</f>
        <v>160</v>
      </c>
      <c r="D67" s="81"/>
      <c r="E67" s="13">
        <f>$E$63</f>
        <v>12</v>
      </c>
      <c r="F67" s="13">
        <f>$E$63</f>
        <v>12</v>
      </c>
      <c r="G67" s="13">
        <f>$E$63</f>
        <v>12</v>
      </c>
      <c r="H67" s="16"/>
      <c r="I67" s="12"/>
    </row>
    <row r="68" spans="1:9" ht="18">
      <c r="A68" s="114"/>
      <c r="B68" s="68"/>
      <c r="C68" s="115"/>
      <c r="D68" s="100"/>
      <c r="E68" s="45"/>
      <c r="F68" s="45"/>
      <c r="G68" s="45"/>
      <c r="H68" s="45"/>
      <c r="I68" s="46"/>
    </row>
    <row r="69" spans="1:9" ht="18">
      <c r="A69" s="83" t="s">
        <v>135</v>
      </c>
      <c r="B69" s="68"/>
      <c r="C69" s="115"/>
      <c r="D69" s="100"/>
      <c r="E69" s="84">
        <v>4320</v>
      </c>
      <c r="F69" s="85">
        <v>4320</v>
      </c>
      <c r="G69" s="85">
        <v>4320</v>
      </c>
      <c r="H69" s="85">
        <v>3480.7703125</v>
      </c>
      <c r="I69" s="85">
        <v>3480.7703125</v>
      </c>
    </row>
    <row r="70" spans="1:9" ht="18">
      <c r="A70" s="114" t="s">
        <v>136</v>
      </c>
      <c r="B70" s="68"/>
      <c r="C70" s="115"/>
      <c r="D70" s="100"/>
      <c r="E70" s="115">
        <v>0</v>
      </c>
      <c r="F70" s="115">
        <v>0</v>
      </c>
      <c r="G70" s="115">
        <v>0</v>
      </c>
      <c r="H70" s="115">
        <v>3480.7703125</v>
      </c>
      <c r="I70" s="73">
        <v>3480.7703125</v>
      </c>
    </row>
    <row r="71" spans="1:9" ht="18">
      <c r="A71" s="114" t="s">
        <v>137</v>
      </c>
      <c r="B71" s="68"/>
      <c r="C71" s="115"/>
      <c r="D71" s="100"/>
      <c r="E71" s="74">
        <v>4320</v>
      </c>
      <c r="F71" s="74">
        <v>4320</v>
      </c>
      <c r="G71" s="74">
        <v>4320</v>
      </c>
      <c r="H71" s="74">
        <v>0</v>
      </c>
      <c r="I71" s="75">
        <v>0</v>
      </c>
    </row>
    <row r="72" spans="1:9" ht="18">
      <c r="A72" s="114" t="s">
        <v>138</v>
      </c>
      <c r="B72" s="68"/>
      <c r="C72" s="115"/>
      <c r="D72" s="100"/>
      <c r="E72" s="115">
        <f>E70*$C109</f>
        <v>0</v>
      </c>
      <c r="F72" s="115">
        <f>F70*$C109</f>
        <v>0</v>
      </c>
      <c r="G72" s="115">
        <f>G70*$C109</f>
        <v>0</v>
      </c>
      <c r="H72" s="115">
        <f>H70*$C109</f>
        <v>1399.669270675981</v>
      </c>
      <c r="I72" s="73">
        <f>I70*$C109</f>
        <v>1399.669270675981</v>
      </c>
    </row>
    <row r="73" spans="1:9" ht="18">
      <c r="A73" s="114" t="s">
        <v>139</v>
      </c>
      <c r="B73" s="68"/>
      <c r="C73" s="115"/>
      <c r="D73" s="100"/>
      <c r="E73" s="115">
        <f>E71*$C108</f>
        <v>887.3517587065729</v>
      </c>
      <c r="F73" s="115">
        <f>F71*$C108</f>
        <v>887.3517587065729</v>
      </c>
      <c r="G73" s="115">
        <f>G71*$C108</f>
        <v>887.3517587065729</v>
      </c>
      <c r="H73" s="115">
        <f>H71*$C108</f>
        <v>0</v>
      </c>
      <c r="I73" s="73">
        <f>I71*$C108</f>
        <v>0</v>
      </c>
    </row>
    <row r="74" spans="1:9" ht="18">
      <c r="A74" s="86" t="s">
        <v>140</v>
      </c>
      <c r="B74" s="47"/>
      <c r="C74" s="74"/>
      <c r="D74" s="53"/>
      <c r="E74" s="48">
        <f>SUM(E72:E73)</f>
        <v>887.3517587065729</v>
      </c>
      <c r="F74" s="49">
        <f>SUM(F72:F73)</f>
        <v>887.3517587065729</v>
      </c>
      <c r="G74" s="49">
        <f>SUM(G72:G73)</f>
        <v>887.3517587065729</v>
      </c>
      <c r="H74" s="49">
        <f>SUM(H72:H73)</f>
        <v>1399.669270675981</v>
      </c>
      <c r="I74" s="49">
        <f>SUM(I72:I73)</f>
        <v>1399.669270675981</v>
      </c>
    </row>
    <row r="75" spans="1:9" ht="18">
      <c r="A75" s="100"/>
      <c r="B75" s="98"/>
      <c r="C75" s="88"/>
      <c r="D75" s="100"/>
      <c r="E75" s="89" t="s">
        <v>99</v>
      </c>
      <c r="F75" s="90">
        <f>AVERAGE(E69:I69)</f>
        <v>3984.3081250000005</v>
      </c>
      <c r="G75" s="91" t="s">
        <v>100</v>
      </c>
      <c r="H75" s="92"/>
      <c r="I75" s="62">
        <f>AVERAGE(E74:I74)</f>
        <v>1092.278763494336</v>
      </c>
    </row>
    <row r="76" spans="1:9" ht="18.75">
      <c r="A76" s="105" t="s">
        <v>141</v>
      </c>
      <c r="B76" s="98"/>
      <c r="C76" s="99"/>
      <c r="D76" s="100"/>
      <c r="E76" s="56"/>
      <c r="F76" s="56"/>
      <c r="G76" s="56"/>
      <c r="H76" s="56"/>
      <c r="I76" s="41"/>
    </row>
    <row r="77" spans="1:9" ht="18">
      <c r="A77" s="63" t="s">
        <v>142</v>
      </c>
      <c r="B77" s="107"/>
      <c r="C77" s="64">
        <f>'Model GDF 4'!C77</f>
        <v>54.05375</v>
      </c>
      <c r="D77" s="109"/>
      <c r="E77" s="17">
        <f>$E$23</f>
        <v>16.25</v>
      </c>
      <c r="F77" s="17">
        <f>$E$23</f>
        <v>16.25</v>
      </c>
      <c r="G77" s="17">
        <f>$E$23</f>
        <v>16.25</v>
      </c>
      <c r="H77" s="17">
        <f>$E$23</f>
        <v>16.25</v>
      </c>
      <c r="I77" s="18">
        <f>$E$23</f>
        <v>16.25</v>
      </c>
    </row>
    <row r="78" spans="1:9" ht="18">
      <c r="A78" s="42" t="s">
        <v>143</v>
      </c>
      <c r="B78" s="117"/>
      <c r="C78" s="26"/>
      <c r="D78" s="81"/>
      <c r="E78" s="43"/>
      <c r="F78" s="43"/>
      <c r="G78" s="43"/>
      <c r="H78" s="43"/>
      <c r="I78" s="44"/>
    </row>
    <row r="79" spans="1:9" ht="18">
      <c r="A79" s="114"/>
      <c r="B79" s="68"/>
      <c r="C79" s="112"/>
      <c r="D79" s="100"/>
      <c r="E79" s="45"/>
      <c r="F79" s="45"/>
      <c r="G79" s="45"/>
      <c r="H79" s="45"/>
      <c r="I79" s="46"/>
    </row>
    <row r="80" spans="1:9" ht="18">
      <c r="A80" s="83" t="s">
        <v>144</v>
      </c>
      <c r="B80" s="68"/>
      <c r="C80" s="112"/>
      <c r="D80" s="100"/>
      <c r="E80" s="84">
        <v>878.3734375</v>
      </c>
      <c r="F80" s="85">
        <v>878.3734375</v>
      </c>
      <c r="G80" s="85">
        <v>878.3734375</v>
      </c>
      <c r="H80" s="85">
        <v>878.3734375</v>
      </c>
      <c r="I80" s="85">
        <v>878.3734375</v>
      </c>
    </row>
    <row r="81" spans="1:9" ht="18">
      <c r="A81" s="86" t="s">
        <v>145</v>
      </c>
      <c r="B81" s="47"/>
      <c r="C81" s="27"/>
      <c r="D81" s="53"/>
      <c r="E81" s="48">
        <f>E80*$C109</f>
        <v>353.2069623300602</v>
      </c>
      <c r="F81" s="49">
        <f>F80*$C109</f>
        <v>353.2069623300602</v>
      </c>
      <c r="G81" s="49">
        <f>G80*$C109</f>
        <v>353.2069623300602</v>
      </c>
      <c r="H81" s="49">
        <f>H80*$C109</f>
        <v>353.2069623300602</v>
      </c>
      <c r="I81" s="49">
        <f>I80*$C109</f>
        <v>353.2069623300602</v>
      </c>
    </row>
    <row r="82" spans="1:9" ht="18">
      <c r="A82" s="100"/>
      <c r="B82" s="98"/>
      <c r="C82" s="88"/>
      <c r="D82" s="100"/>
      <c r="E82" s="89" t="s">
        <v>99</v>
      </c>
      <c r="F82" s="90">
        <f>AVERAGE(E80:I80)</f>
        <v>878.3734375</v>
      </c>
      <c r="G82" s="91" t="s">
        <v>100</v>
      </c>
      <c r="H82" s="92"/>
      <c r="I82" s="62">
        <f>AVERAGE(E81:I81)</f>
        <v>353.2069623300602</v>
      </c>
    </row>
    <row r="83" spans="1:9" ht="18.75">
      <c r="A83" s="105" t="s">
        <v>146</v>
      </c>
      <c r="B83" s="98"/>
      <c r="C83" s="99"/>
      <c r="D83" s="100"/>
      <c r="E83" s="56"/>
      <c r="F83" s="56"/>
      <c r="G83" s="56"/>
      <c r="H83" s="56"/>
      <c r="I83" s="56"/>
    </row>
    <row r="84" spans="1:9" ht="18">
      <c r="A84" s="63" t="s">
        <v>142</v>
      </c>
      <c r="B84" s="107"/>
      <c r="C84" s="64">
        <f>'Model GDF 4'!C84</f>
        <v>54.05375</v>
      </c>
      <c r="D84" s="109"/>
      <c r="E84" s="17">
        <f>$E$23</f>
        <v>16.25</v>
      </c>
      <c r="F84" s="17">
        <f>$E$23</f>
        <v>16.25</v>
      </c>
      <c r="G84" s="17">
        <f>$E$23</f>
        <v>16.25</v>
      </c>
      <c r="H84" s="17">
        <f>$E$23</f>
        <v>16.25</v>
      </c>
      <c r="I84" s="18">
        <f>$E$23</f>
        <v>16.25</v>
      </c>
    </row>
    <row r="85" spans="1:9" ht="18">
      <c r="A85" s="42" t="s">
        <v>143</v>
      </c>
      <c r="B85" s="117"/>
      <c r="C85" s="26"/>
      <c r="D85" s="81"/>
      <c r="E85" s="43"/>
      <c r="F85" s="43"/>
      <c r="G85" s="43"/>
      <c r="H85" s="43"/>
      <c r="I85" s="44"/>
    </row>
    <row r="86" spans="1:9" ht="18">
      <c r="A86" s="114"/>
      <c r="B86" s="98"/>
      <c r="C86" s="115"/>
      <c r="D86" s="100"/>
      <c r="E86" s="56"/>
      <c r="F86" s="56"/>
      <c r="G86" s="56"/>
      <c r="H86" s="56"/>
      <c r="I86" s="57"/>
    </row>
    <row r="87" spans="1:9" ht="18">
      <c r="A87" s="83" t="s">
        <v>147</v>
      </c>
      <c r="B87" s="68"/>
      <c r="C87" s="115"/>
      <c r="D87" s="100"/>
      <c r="E87" s="84">
        <v>878.3734375</v>
      </c>
      <c r="F87" s="85">
        <v>878.3734375</v>
      </c>
      <c r="G87" s="85">
        <v>878.3734375</v>
      </c>
      <c r="H87" s="85">
        <v>878.3734375</v>
      </c>
      <c r="I87" s="85">
        <v>878.3734375</v>
      </c>
    </row>
    <row r="88" spans="1:9" ht="18">
      <c r="A88" s="86" t="s">
        <v>148</v>
      </c>
      <c r="B88" s="52"/>
      <c r="C88" s="74"/>
      <c r="D88" s="53"/>
      <c r="E88" s="48">
        <f>E87*$C109</f>
        <v>353.2069623300602</v>
      </c>
      <c r="F88" s="49">
        <f>F87*$C109</f>
        <v>353.2069623300602</v>
      </c>
      <c r="G88" s="49">
        <f>G87*$C109</f>
        <v>353.2069623300602</v>
      </c>
      <c r="H88" s="49">
        <f>H87*$C109</f>
        <v>353.2069623300602</v>
      </c>
      <c r="I88" s="49">
        <f>I87*$C109</f>
        <v>353.2069623300602</v>
      </c>
    </row>
    <row r="89" spans="1:9" ht="18">
      <c r="A89" s="100"/>
      <c r="B89" s="68"/>
      <c r="C89" s="88"/>
      <c r="D89" s="100"/>
      <c r="E89" s="89" t="s">
        <v>99</v>
      </c>
      <c r="F89" s="90">
        <f>AVERAGE(E87:I87)</f>
        <v>878.3734375</v>
      </c>
      <c r="G89" s="91" t="s">
        <v>100</v>
      </c>
      <c r="H89" s="92"/>
      <c r="I89" s="62">
        <f>AVERAGE(E88:I88)</f>
        <v>353.2069623300602</v>
      </c>
    </row>
    <row r="90" spans="1:9" ht="18.75">
      <c r="A90" s="105" t="s">
        <v>149</v>
      </c>
      <c r="B90" s="98"/>
      <c r="C90" s="99"/>
      <c r="D90" s="100"/>
      <c r="E90" s="56"/>
      <c r="F90" s="56"/>
      <c r="G90" s="56"/>
      <c r="H90" s="56"/>
      <c r="I90" s="56"/>
    </row>
    <row r="91" spans="1:9" ht="18">
      <c r="A91" s="106" t="s">
        <v>128</v>
      </c>
      <c r="B91" s="107"/>
      <c r="C91" s="108"/>
      <c r="D91" s="109"/>
      <c r="E91" s="24"/>
      <c r="F91" s="24"/>
      <c r="G91" s="24"/>
      <c r="H91" s="24"/>
      <c r="I91" s="25"/>
    </row>
    <row r="92" spans="1:9" ht="18">
      <c r="A92" s="111" t="s">
        <v>150</v>
      </c>
      <c r="B92" s="98"/>
      <c r="C92" s="112">
        <f>'Model GDF 4'!C92</f>
        <v>191.5</v>
      </c>
      <c r="D92" s="100"/>
      <c r="E92" s="13">
        <v>2.5</v>
      </c>
      <c r="F92" s="13">
        <v>2.5</v>
      </c>
      <c r="G92" s="13">
        <v>2.5</v>
      </c>
      <c r="H92" s="13">
        <v>2.5</v>
      </c>
      <c r="I92" s="10">
        <v>2.5</v>
      </c>
    </row>
    <row r="93" spans="1:9" ht="18">
      <c r="A93" s="111" t="s">
        <v>151</v>
      </c>
      <c r="B93" s="98"/>
      <c r="C93" s="112">
        <f>'Model GDF 4'!C93</f>
        <v>245</v>
      </c>
      <c r="D93" s="100"/>
      <c r="E93" s="13">
        <f>$E$63</f>
        <v>12</v>
      </c>
      <c r="F93" s="13">
        <f>$E$63</f>
        <v>12</v>
      </c>
      <c r="G93" s="13">
        <f>$E$63</f>
        <v>12</v>
      </c>
      <c r="H93" s="13">
        <f>$E$63</f>
        <v>12</v>
      </c>
      <c r="I93" s="10">
        <f>$E$63</f>
        <v>12</v>
      </c>
    </row>
    <row r="94" spans="1:9" ht="18">
      <c r="A94" s="111" t="s">
        <v>152</v>
      </c>
      <c r="B94" s="98"/>
      <c r="C94" s="112">
        <f>'Model GDF 4'!C94</f>
        <v>1196.6666666666667</v>
      </c>
      <c r="D94" s="100"/>
      <c r="E94" s="13">
        <v>1</v>
      </c>
      <c r="F94" s="13">
        <v>1</v>
      </c>
      <c r="G94" s="13">
        <v>1</v>
      </c>
      <c r="H94" s="13">
        <v>1</v>
      </c>
      <c r="I94" s="10">
        <v>1</v>
      </c>
    </row>
    <row r="95" spans="1:9" ht="18">
      <c r="A95" s="111" t="s">
        <v>95</v>
      </c>
      <c r="B95" s="98"/>
      <c r="C95" s="112"/>
      <c r="D95" s="100"/>
      <c r="E95" s="13"/>
      <c r="F95" s="13"/>
      <c r="G95" s="13"/>
      <c r="H95" s="13"/>
      <c r="I95" s="10"/>
    </row>
    <row r="96" spans="1:9" ht="18">
      <c r="A96" s="42" t="s">
        <v>153</v>
      </c>
      <c r="B96" s="117"/>
      <c r="C96" s="112">
        <f>'Model GDF 4'!C96</f>
        <v>1280</v>
      </c>
      <c r="D96" s="81"/>
      <c r="E96" s="41">
        <f>1*(E63/2)</f>
        <v>6</v>
      </c>
      <c r="F96" s="16">
        <f>$E$96</f>
        <v>6</v>
      </c>
      <c r="G96" s="16">
        <f>$E$96</f>
        <v>6</v>
      </c>
      <c r="H96" s="16">
        <f>$E$96</f>
        <v>6</v>
      </c>
      <c r="I96" s="12">
        <f>$E$96</f>
        <v>6</v>
      </c>
    </row>
    <row r="97" spans="1:9" ht="18">
      <c r="A97" s="114"/>
      <c r="B97" s="98"/>
      <c r="C97" s="115"/>
      <c r="D97" s="100"/>
      <c r="E97" s="68"/>
      <c r="F97" s="68"/>
      <c r="G97" s="68"/>
      <c r="H97" s="68"/>
      <c r="I97" s="28"/>
    </row>
    <row r="98" spans="1:9" ht="18">
      <c r="A98" s="83" t="s">
        <v>154</v>
      </c>
      <c r="B98" s="98"/>
      <c r="C98" s="115"/>
      <c r="D98" s="100"/>
      <c r="E98" s="84">
        <v>12295.416666666668</v>
      </c>
      <c r="F98" s="85">
        <v>12295.416666666668</v>
      </c>
      <c r="G98" s="85">
        <v>12295.416666666668</v>
      </c>
      <c r="H98" s="85">
        <v>12295.416666666668</v>
      </c>
      <c r="I98" s="85">
        <v>12295.416666666668</v>
      </c>
    </row>
    <row r="99" spans="1:9" ht="18">
      <c r="A99" s="86" t="s">
        <v>155</v>
      </c>
      <c r="B99" s="52"/>
      <c r="C99" s="74"/>
      <c r="D99" s="53"/>
      <c r="E99" s="48">
        <f>E98*$C107</f>
        <v>2001.0224406616803</v>
      </c>
      <c r="F99" s="49">
        <f>F98*$C107</f>
        <v>2001.0224406616803</v>
      </c>
      <c r="G99" s="49">
        <f>G98*$C107</f>
        <v>2001.0224406616803</v>
      </c>
      <c r="H99" s="49">
        <f>H98*$C107</f>
        <v>2001.0224406616803</v>
      </c>
      <c r="I99" s="49">
        <f>I98*$C107</f>
        <v>2001.0224406616803</v>
      </c>
    </row>
    <row r="100" spans="1:9" ht="18">
      <c r="A100" s="100"/>
      <c r="B100" s="98"/>
      <c r="C100" s="115"/>
      <c r="D100" s="100"/>
      <c r="E100" s="89" t="s">
        <v>99</v>
      </c>
      <c r="F100" s="90">
        <f>AVERAGE(E98:I98)</f>
        <v>12295.416666666668</v>
      </c>
      <c r="G100" s="91" t="s">
        <v>100</v>
      </c>
      <c r="H100" s="92"/>
      <c r="I100" s="62">
        <f>AVERAGE(E99:I99)</f>
        <v>2001.0224406616803</v>
      </c>
    </row>
    <row r="101" spans="1:9" ht="18">
      <c r="A101" s="29"/>
      <c r="B101" s="103"/>
      <c r="C101" s="30"/>
      <c r="D101" s="29"/>
      <c r="E101" s="31"/>
      <c r="F101" s="31"/>
      <c r="G101" s="31"/>
      <c r="H101" s="31"/>
      <c r="I101" s="31"/>
    </row>
    <row r="102" spans="2:9" ht="18">
      <c r="B102" s="98"/>
      <c r="C102" s="99"/>
      <c r="D102" s="100"/>
      <c r="E102" s="98"/>
      <c r="F102" s="98"/>
      <c r="G102" s="98"/>
      <c r="H102" s="98"/>
      <c r="I102" s="98"/>
    </row>
    <row r="103" spans="1:9" ht="18">
      <c r="A103" s="32" t="s">
        <v>156</v>
      </c>
      <c r="B103" s="98"/>
      <c r="C103" s="88"/>
      <c r="D103" s="100"/>
      <c r="E103" s="84">
        <f>SUM(E18,E49,E69,E80,E87,E98)</f>
        <v>43849.68854166667</v>
      </c>
      <c r="F103" s="85">
        <f>SUM(F18,F49,F69,F80,F87,F98)</f>
        <v>43849.68854166667</v>
      </c>
      <c r="G103" s="85">
        <f>SUM(G18,G49,G69,G80,G87,G98)</f>
        <v>46804.91354166667</v>
      </c>
      <c r="H103" s="85">
        <f>SUM(H18,H49,H69,H80,H87,H98)</f>
        <v>41615.98885416667</v>
      </c>
      <c r="I103" s="33">
        <f>SUM(I18,I49,I69,I80,I87,I98)</f>
        <v>40503.51635416667</v>
      </c>
    </row>
    <row r="104" spans="1:9" ht="18">
      <c r="A104" s="32" t="s">
        <v>157</v>
      </c>
      <c r="B104" s="98"/>
      <c r="C104" s="88"/>
      <c r="D104" s="100"/>
      <c r="E104" s="84">
        <f>SUM(E19,E56,E74,E81,E88,E99)</f>
        <v>9358.1493248341</v>
      </c>
      <c r="F104" s="85">
        <f>SUM(F19,F56,F74,F81,F88,F99)</f>
        <v>9358.1493248341</v>
      </c>
      <c r="G104" s="85">
        <f>SUM(G19,G56,G74,G81,G88,G99)</f>
        <v>10133.849479668592</v>
      </c>
      <c r="H104" s="85">
        <f>SUM(H19,H56,H74,H81,H88,H99)</f>
        <v>9491.952495360394</v>
      </c>
      <c r="I104" s="33">
        <f>SUM(I19,I56,I74,I81,I88,I99)</f>
        <v>9276.812887121641</v>
      </c>
    </row>
    <row r="105" spans="2:9" ht="18">
      <c r="B105" s="98"/>
      <c r="C105" s="99"/>
      <c r="D105" s="100"/>
      <c r="E105" s="98"/>
      <c r="F105" s="98"/>
      <c r="G105" s="98"/>
      <c r="H105" s="98"/>
      <c r="I105" s="98"/>
    </row>
    <row r="106" spans="1:9" ht="18">
      <c r="A106" s="97" t="s">
        <v>158</v>
      </c>
      <c r="B106" s="98"/>
      <c r="C106" s="99"/>
      <c r="D106" s="100"/>
      <c r="E106" s="98"/>
      <c r="F106" s="98"/>
      <c r="G106" s="98"/>
      <c r="H106" s="98"/>
      <c r="I106" s="98"/>
    </row>
    <row r="107" spans="1:9" ht="18">
      <c r="A107" s="97" t="s">
        <v>159</v>
      </c>
      <c r="B107" s="98"/>
      <c r="C107" s="34">
        <f>(0.1*(1+0.1)^10)/((1+0.1)^10-1)</f>
        <v>0.16274539488251152</v>
      </c>
      <c r="D107" s="100"/>
      <c r="E107" s="98"/>
      <c r="F107" s="35" t="s">
        <v>160</v>
      </c>
      <c r="G107" s="36"/>
      <c r="H107" s="37"/>
      <c r="I107" s="38">
        <f>AVERAGE(E103:I103)</f>
        <v>43324.75916666667</v>
      </c>
    </row>
    <row r="108" spans="1:9" ht="18">
      <c r="A108" s="97" t="s">
        <v>161</v>
      </c>
      <c r="B108" s="98"/>
      <c r="C108" s="34">
        <f>(0.1*(1+0.1)^7)/((1+0.1)^7-1)</f>
        <v>0.20540549970059557</v>
      </c>
      <c r="D108" s="100"/>
      <c r="E108" s="98"/>
      <c r="F108" s="35" t="s">
        <v>162</v>
      </c>
      <c r="G108" s="36"/>
      <c r="H108" s="37"/>
      <c r="I108" s="38">
        <f>AVERAGE(E104:I104)</f>
        <v>9523.782702363764</v>
      </c>
    </row>
    <row r="109" spans="1:9" ht="18">
      <c r="A109" s="97" t="s">
        <v>163</v>
      </c>
      <c r="B109" s="98"/>
      <c r="C109" s="34">
        <f>(0.1*(1+0.1)^3)/((1+0.1)^3-1)</f>
        <v>0.4021148036253774</v>
      </c>
      <c r="D109" s="100"/>
      <c r="E109" s="98"/>
      <c r="F109" s="98"/>
      <c r="G109" s="98"/>
      <c r="H109" s="98"/>
      <c r="I109" s="98"/>
    </row>
    <row r="110" spans="1:9" ht="18">
      <c r="A110" s="97" t="s">
        <v>164</v>
      </c>
      <c r="B110" s="98"/>
      <c r="C110" s="99"/>
      <c r="D110" s="100"/>
      <c r="E110" s="98"/>
      <c r="F110" s="98"/>
      <c r="G110" s="98"/>
      <c r="H110" s="98"/>
      <c r="I110" s="98"/>
    </row>
  </sheetData>
  <printOptions/>
  <pageMargins left="0.44" right="0.28" top="0.97" bottom="0.36" header="0.22" footer="0.24"/>
  <pageSetup horizontalDpi="600" verticalDpi="6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3"/>
  <sheetViews>
    <sheetView zoomScale="75" zoomScaleNormal="75" workbookViewId="0" topLeftCell="A24">
      <selection activeCell="A15" sqref="A15"/>
    </sheetView>
  </sheetViews>
  <sheetFormatPr defaultColWidth="9.140625" defaultRowHeight="12.75"/>
  <cols>
    <col min="1" max="1" width="101.00390625" style="97" customWidth="1"/>
    <col min="2" max="2" width="27.00390625" style="98" customWidth="1"/>
    <col min="3" max="16384" width="9.140625" style="97" customWidth="1"/>
  </cols>
  <sheetData>
    <row r="1" spans="1:2" ht="18">
      <c r="A1" s="94" t="s">
        <v>169</v>
      </c>
      <c r="B1" s="101"/>
    </row>
    <row r="2" spans="1:2" ht="18">
      <c r="A2" s="19"/>
      <c r="B2" s="19"/>
    </row>
    <row r="3" spans="1:2" ht="18">
      <c r="A3" s="20" t="s">
        <v>170</v>
      </c>
      <c r="B3" s="20" t="s">
        <v>171</v>
      </c>
    </row>
    <row r="4" spans="1:2" ht="18">
      <c r="A4" s="21" t="s">
        <v>172</v>
      </c>
      <c r="B4" s="22"/>
    </row>
    <row r="5" spans="1:2" ht="18">
      <c r="A5" s="21" t="s">
        <v>173</v>
      </c>
      <c r="B5" s="1"/>
    </row>
    <row r="6" spans="1:2" ht="18">
      <c r="A6" s="2" t="s">
        <v>174</v>
      </c>
      <c r="B6" s="1"/>
    </row>
    <row r="7" spans="1:2" ht="18">
      <c r="A7" s="21" t="s">
        <v>175</v>
      </c>
      <c r="B7" s="1">
        <v>1</v>
      </c>
    </row>
    <row r="8" spans="1:2" ht="18">
      <c r="A8" s="21" t="s">
        <v>176</v>
      </c>
      <c r="B8" s="3">
        <v>100000</v>
      </c>
    </row>
    <row r="9" spans="1:2" ht="18">
      <c r="A9" s="2" t="s">
        <v>177</v>
      </c>
      <c r="B9" s="1">
        <v>1</v>
      </c>
    </row>
    <row r="10" spans="1:2" ht="18">
      <c r="A10" s="2" t="s">
        <v>178</v>
      </c>
      <c r="B10" s="1"/>
    </row>
    <row r="11" spans="1:2" ht="18">
      <c r="A11" s="2" t="s">
        <v>179</v>
      </c>
      <c r="B11" s="1">
        <f>0.5*B7</f>
        <v>0.5</v>
      </c>
    </row>
    <row r="12" spans="1:2" ht="18">
      <c r="A12" s="2" t="s">
        <v>180</v>
      </c>
      <c r="B12" s="3">
        <f>(0.5)*B8</f>
        <v>50000</v>
      </c>
    </row>
    <row r="13" spans="1:2" ht="18">
      <c r="A13" s="2" t="s">
        <v>177</v>
      </c>
      <c r="B13" s="1">
        <v>1</v>
      </c>
    </row>
    <row r="14" spans="1:2" ht="18">
      <c r="A14" s="2"/>
      <c r="B14" s="1"/>
    </row>
    <row r="15" spans="1:2" ht="18">
      <c r="A15" s="2" t="s">
        <v>181</v>
      </c>
      <c r="B15" s="4">
        <f>B7*B8*B9+B11*B12*B13</f>
        <v>125000</v>
      </c>
    </row>
    <row r="16" spans="1:2" ht="18">
      <c r="A16" s="2"/>
      <c r="B16" s="1"/>
    </row>
    <row r="17" spans="1:2" ht="18">
      <c r="A17" s="2" t="s">
        <v>182</v>
      </c>
      <c r="B17" s="1"/>
    </row>
    <row r="18" spans="1:2" ht="18">
      <c r="A18" s="2" t="s">
        <v>174</v>
      </c>
      <c r="B18" s="22"/>
    </row>
    <row r="19" spans="1:2" ht="18">
      <c r="A19" s="21" t="s">
        <v>175</v>
      </c>
      <c r="B19" s="22">
        <v>2</v>
      </c>
    </row>
    <row r="20" spans="1:2" ht="18">
      <c r="A20" s="21" t="s">
        <v>176</v>
      </c>
      <c r="B20" s="5">
        <f>B8</f>
        <v>100000</v>
      </c>
    </row>
    <row r="21" spans="1:2" ht="18">
      <c r="A21" s="2" t="s">
        <v>177</v>
      </c>
      <c r="B21" s="6">
        <v>2</v>
      </c>
    </row>
    <row r="22" spans="1:2" ht="18">
      <c r="A22" s="2" t="s">
        <v>178</v>
      </c>
      <c r="B22" s="6"/>
    </row>
    <row r="23" spans="1:2" ht="18">
      <c r="A23" s="2" t="s">
        <v>179</v>
      </c>
      <c r="B23" s="7">
        <f>B19/2</f>
        <v>1</v>
      </c>
    </row>
    <row r="24" spans="1:2" ht="18">
      <c r="A24" s="2" t="s">
        <v>180</v>
      </c>
      <c r="B24" s="3">
        <f>(0.5)*B20</f>
        <v>50000</v>
      </c>
    </row>
    <row r="25" spans="1:2" ht="18">
      <c r="A25" s="2" t="s">
        <v>177</v>
      </c>
      <c r="B25" s="7">
        <f>B21</f>
        <v>2</v>
      </c>
    </row>
    <row r="26" spans="1:2" ht="18">
      <c r="A26" s="2"/>
      <c r="B26" s="7"/>
    </row>
    <row r="27" spans="1:2" ht="18">
      <c r="A27" s="242" t="s">
        <v>183</v>
      </c>
      <c r="B27" s="243">
        <f>B19*B20*B21+B23*B24*B25</f>
        <v>500000</v>
      </c>
    </row>
    <row r="28" spans="1:2" ht="18">
      <c r="A28" s="2"/>
      <c r="B28" s="7"/>
    </row>
    <row r="29" spans="1:2" ht="18">
      <c r="A29" s="2" t="s">
        <v>184</v>
      </c>
      <c r="B29" s="7"/>
    </row>
    <row r="30" spans="1:2" ht="18">
      <c r="A30" s="2" t="s">
        <v>185</v>
      </c>
      <c r="B30" s="4">
        <f>0.1*(B19*B20*B21+B23*B24*B25)</f>
        <v>50000</v>
      </c>
    </row>
    <row r="31" spans="1:2" ht="18">
      <c r="A31" s="21" t="s">
        <v>186</v>
      </c>
      <c r="B31" s="22"/>
    </row>
    <row r="32" spans="1:2" ht="18">
      <c r="A32" s="244"/>
      <c r="B32" s="245"/>
    </row>
    <row r="33" spans="1:2" ht="18">
      <c r="A33" s="2"/>
      <c r="B33" s="1"/>
    </row>
    <row r="34" spans="1:2" ht="18">
      <c r="A34" s="21" t="s">
        <v>187</v>
      </c>
      <c r="B34" s="22"/>
    </row>
    <row r="35" spans="1:2" ht="18">
      <c r="A35" s="244" t="s">
        <v>188</v>
      </c>
      <c r="B35" s="246">
        <f>0.25*B30</f>
        <v>12500</v>
      </c>
    </row>
    <row r="36" spans="1:2" ht="18">
      <c r="A36" s="2"/>
      <c r="B36" s="7"/>
    </row>
    <row r="37" spans="1:2" ht="18">
      <c r="A37" s="21" t="s">
        <v>189</v>
      </c>
      <c r="B37" s="247">
        <v>64</v>
      </c>
    </row>
    <row r="38" spans="1:2" ht="18">
      <c r="A38" s="21" t="s">
        <v>190</v>
      </c>
      <c r="B38" s="248">
        <f>B37*0.25</f>
        <v>16</v>
      </c>
    </row>
    <row r="39" spans="1:2" ht="18">
      <c r="A39" s="2" t="s">
        <v>191</v>
      </c>
      <c r="B39" s="249">
        <v>14</v>
      </c>
    </row>
    <row r="40" spans="1:2" ht="18">
      <c r="A40" s="250"/>
      <c r="B40" s="251"/>
    </row>
    <row r="42" spans="1:2" ht="18">
      <c r="A42" s="252" t="s">
        <v>192</v>
      </c>
      <c r="B42" s="38">
        <f>(B39)*(B15+B30+B35)+(B37+B38)*(B27+B30+B35)</f>
        <v>47625000</v>
      </c>
    </row>
    <row r="43" spans="1:2" ht="18">
      <c r="A43" s="252" t="s">
        <v>193</v>
      </c>
      <c r="B43" s="38">
        <f>B42*(0.1*(1+0.1)^5)/(((1+0.1)^5)-1)</f>
        <v>12563355.02284974</v>
      </c>
    </row>
  </sheetData>
  <printOptions/>
  <pageMargins left="0.75" right="0.75" top="1" bottom="1" header="0.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ARB</cp:lastModifiedBy>
  <cp:lastPrinted>2001-10-12T23:22:54Z</cp:lastPrinted>
  <dcterms:created xsi:type="dcterms:W3CDTF">2002-02-20T17:17:50Z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