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15" activeTab="0"/>
  </bookViews>
  <sheets>
    <sheet name="EVR " sheetId="1" r:id="rId1"/>
    <sheet name="Phase I" sheetId="2" r:id="rId2"/>
    <sheet name="Phase II" sheetId="3" r:id="rId3"/>
    <sheet name="ORVR" sheetId="4" r:id="rId4"/>
    <sheet name="Liq retain" sheetId="5" r:id="rId5"/>
    <sheet name="Spillage" sheetId="6" r:id="rId6"/>
    <sheet name="ISD" sheetId="7" r:id="rId7"/>
    <sheet name="Reference" sheetId="8" r:id="rId8"/>
  </sheets>
  <definedNames/>
  <calcPr fullCalcOnLoad="1"/>
</workbook>
</file>

<file path=xl/sharedStrings.xml><?xml version="1.0" encoding="utf-8"?>
<sst xmlns="http://schemas.openxmlformats.org/spreadsheetml/2006/main" count="189" uniqueCount="146">
  <si>
    <t>Year</t>
  </si>
  <si>
    <t>Percent</t>
  </si>
  <si>
    <t>SCAQMD Excess Emissions</t>
  </si>
  <si>
    <t>References and Assumptions Used for EVR Emission Reductions</t>
  </si>
  <si>
    <t>Uncontrolled summer ROG emission factor =</t>
  </si>
  <si>
    <t>lbs/1000 gallons</t>
  </si>
  <si>
    <t>ref: DRAFT Uncontrolled Vapor Emission Factor at Gasoline Dispensing Facilities, 1/5/00</t>
  </si>
  <si>
    <t>or</t>
  </si>
  <si>
    <t xml:space="preserve">5.67E+9 / 1.35E+10 = </t>
  </si>
  <si>
    <t xml:space="preserve">Factor used to calculate SCAB emissions from statewide emissions: </t>
  </si>
  <si>
    <t>Growth factors for gasoline throughput:</t>
  </si>
  <si>
    <r>
      <t xml:space="preserve">Total statewide </t>
    </r>
    <r>
      <rPr>
        <b/>
        <sz val="12"/>
        <rFont val="Arial"/>
        <family val="2"/>
      </rPr>
      <t>highway</t>
    </r>
    <r>
      <rPr>
        <sz val="12"/>
        <rFont val="Arial"/>
        <family val="2"/>
      </rPr>
      <t xml:space="preserve"> gasoline sales for 1997:    1,348,172,500</t>
    </r>
  </si>
  <si>
    <r>
      <t xml:space="preserve">Total SCAB </t>
    </r>
    <r>
      <rPr>
        <b/>
        <sz val="12"/>
        <rFont val="Arial"/>
        <family val="2"/>
      </rPr>
      <t>highway</t>
    </r>
    <r>
      <rPr>
        <sz val="12"/>
        <rFont val="Arial"/>
        <family val="2"/>
      </rPr>
      <t xml:space="preserve"> gasoline sales for 1997:         5,671,731,372</t>
    </r>
  </si>
  <si>
    <t xml:space="preserve">ref: Statewide composite growth factor for vapor recovery using gallons of gasoline consumed from </t>
  </si>
  <si>
    <t xml:space="preserve">      emfac/burden 7G rundate 11/97, applies to CES=46532,46540,46557,46565</t>
  </si>
  <si>
    <t xml:space="preserve">      1/6/00 e-mail from V. Lurch, PTSD</t>
  </si>
  <si>
    <t>ref: 12/1/99 e-mail from R. Asregadoo, PTSD</t>
  </si>
  <si>
    <t>EVR EMISSION REDUCTION CALCULATIONS</t>
  </si>
  <si>
    <t>MODULE 1: PHASE I VAPOR RECOVERY</t>
  </si>
  <si>
    <t>EVR will increase the Phase I certification efficiency from 95% to 98%.</t>
  </si>
  <si>
    <t>Using 7.6 lbs/1000 gallons, the current emission factor is:</t>
  </si>
  <si>
    <t xml:space="preserve">(7.6 lb/1000 gal) x (1.00 - 0.95) = </t>
  </si>
  <si>
    <t>The proposed emission factor is:</t>
  </si>
  <si>
    <t xml:space="preserve">(7.6 lb/1000 gal) x (1.00 - 0.98) = </t>
  </si>
  <si>
    <t>1997 total highway gasoline sales in California are 13,481,725,000 gallons/yr</t>
  </si>
  <si>
    <t>(non-highway gasoline sales, about 2% of total throughput, are assumed uncontrolled)</t>
  </si>
  <si>
    <t>The statewide emission reductions are:</t>
  </si>
  <si>
    <t xml:space="preserve">(0.38 – 0.15) lbs/1000 gal x (13,481,725,000 gal/yr) (1 yr/365 days)(1 ton/2000 lb)= </t>
  </si>
  <si>
    <t>Thus the emission reductions in the SCAB are:</t>
  </si>
  <si>
    <t xml:space="preserve">1997 total highway gasoline in SCAB is 5,671,731,372 gallon/yr. </t>
  </si>
  <si>
    <t xml:space="preserve"> This is 42% of statewide highway gasoline sales.  </t>
  </si>
  <si>
    <t>Emission reductions for future years can be estimated using the gasoline throughput</t>
  </si>
  <si>
    <t>growth factors as shown below:</t>
  </si>
  <si>
    <t>This table summarizes the calculations for 1997, 2000, 2005, 2010 ROG estimates:</t>
  </si>
  <si>
    <t xml:space="preserve">CA </t>
  </si>
  <si>
    <t>SCAB</t>
  </si>
  <si>
    <t xml:space="preserve"> tons/day statewide</t>
  </si>
  <si>
    <t xml:space="preserve">(4.25 tons/day)(0.42) = </t>
  </si>
  <si>
    <t xml:space="preserve"> tons/day</t>
  </si>
  <si>
    <t>MODULE 2: PHASE II VAPOR RECOVERY</t>
  </si>
  <si>
    <t>0.395 lbs/1000 gal x (0.35 x13, 481,725,000 gal/yr) (1 yr/365 days)(1 ton/2000 lb) +</t>
  </si>
  <si>
    <t>0.028 lbs/1000 gal x  (0.20 x13,481,725,000 gal/yr) (1 yr/365 days)(1 ton/2000 lb) =</t>
  </si>
  <si>
    <t>DRAFT ARB/CAPCOA Vapor Recovery Test Report, April 1999</t>
  </si>
  <si>
    <t xml:space="preserve">The EVR proposal includes many improvements to Phase II vapor recovery certification. </t>
  </si>
  <si>
    <t xml:space="preserve"> A major change will be to include pressure-related fugitive emissions in the total emissions </t>
  </si>
  <si>
    <t xml:space="preserve">from the Phase II system.  These emissions are not currently included in the inventory. </t>
  </si>
  <si>
    <t xml:space="preserve">We can estimate pressure-related fugitives using baseline data from field tests conducted </t>
  </si>
  <si>
    <t xml:space="preserve">Assume 55% of highway throughput occurs at stations with assist systems without processors. </t>
  </si>
  <si>
    <t xml:space="preserve">DRAFT “Total Hydrocarbon Emissions from Two Phase II Vacuum Assist Vapor Recovery Systems during </t>
  </si>
  <si>
    <t xml:space="preserve">Baseline Operation and Simulated Refueling of Onboard Refueling Vapor Recovery (ORVR) Vehicles”, </t>
  </si>
  <si>
    <t>May 1999, ARB Compliance Division</t>
  </si>
  <si>
    <t xml:space="preserve">by ARB staff at two gasoline dispensing facilities (reference 4).  </t>
  </si>
  <si>
    <t xml:space="preserve"> Assume 35% of highway throughput is at stations with Gilbarco, </t>
  </si>
  <si>
    <t>20% of highway throughput is at stations with Wayne (reference 5).</t>
  </si>
  <si>
    <t xml:space="preserve">1997 total highway gasoline throughput in SCAB is 42% of statewide highway gasoline sales.  </t>
  </si>
  <si>
    <t xml:space="preserve">Average fugitive emission factor for Gilbarco system: </t>
  </si>
  <si>
    <t xml:space="preserve">Average fugitive emission factor for Wayne Va. system: </t>
  </si>
  <si>
    <t xml:space="preserve"> lbs/1000 gallons</t>
  </si>
  <si>
    <t xml:space="preserve"> =</t>
  </si>
  <si>
    <t xml:space="preserve"> +</t>
  </si>
  <si>
    <t xml:space="preserve">(2.66 tons/day)(0.42) = </t>
  </si>
  <si>
    <t>MODULE 3: ORVR COMPATIBILITY</t>
  </si>
  <si>
    <t>Onboard Refueling Vapor Recovery (ORVR) is mandated by federal regulations to be phased in to the vehicle population beginning with the 1998 model year.  ORVR is designed to achieve 95% recovery of vehicle gasoline tank displaced vapors by routing the displaced vapors to a carbon canister during fueling.  Thus, it controls the same emissions as Phase II vapor recovery systems.</t>
  </si>
  <si>
    <t>However, additional emissions at the dispensing facility may occur when fueling ORVR vehicles with Phase II vapor recovery systems.  This is because the gasoline removed from the underground storage tank at the gasoline dispensing facility is no longer replaced with gasoline vapors from the vehicle and has the potential to draw in excess air which can lead to vapor growth.  The greatest concern is for assist systems without processors, as the active vapor pump for these systems will continue to pump “air” from the nozzle/vehicle interface.  The gasoline in the underground storage tank will evaporate into the air, increasing its volume, which will lead to excess fugitive and possibly vent emissions.</t>
  </si>
  <si>
    <t>The estimated ORVR penetration for the California fleet is given in the table below based on vehicle fleet extrapolation.  Field tests for two assist systems generated the following emission factors for simulated ORVR penetrations:</t>
  </si>
  <si>
    <t>Average ORVR Emission Factor for Gilbarco at 44.9% ORVR Simulation:</t>
  </si>
  <si>
    <t>Average ORVR Emission Factor for Wayne at 38.2% ORVR Simulation:</t>
  </si>
  <si>
    <t xml:space="preserve">The Gilbarco emission factor is expected to be higher based on the higher A/L range (1.0 - 1.2) required for this system.  The Wayne system has an A/L range of 0.9 – 1.1.  This means the Gilbarco system will draw in more air into the underground storage tank than liquid removed.  </t>
  </si>
  <si>
    <t>The emission factors for other ORVR percentages are calculated assuming a linear relationship between ORVR fleet penetration and excess emissions.</t>
  </si>
  <si>
    <t xml:space="preserve"> lbs/1000 gal (ORVR) -</t>
  </si>
  <si>
    <t>lbs/1000 gal (baseline) =</t>
  </si>
  <si>
    <t xml:space="preserve">lbs/1000 gal (ORVR) </t>
  </si>
  <si>
    <t>lbs/1000g</t>
  </si>
  <si>
    <t>*(assumes 35% of highway throughput for Gilbarco, 20% for Wayne)</t>
  </si>
  <si>
    <t xml:space="preserve"> </t>
  </si>
  <si>
    <t>The statewide emission reductions are for year 2010 are calculated as follows:</t>
  </si>
  <si>
    <t>Estimated Percentage of Vehicle Miles Traveled by ORVR Vehicles (Automobiles and Light Duty Trucks only) and Excess Emissions Estimated due to ORVR Fuelings</t>
  </si>
  <si>
    <t>0.570 lbs/1000 gal x (0.35 x13,481,725,000 gal/yr) (1 yr/365 days)(1 ton/2000 lb)(1.176)+</t>
  </si>
  <si>
    <t>0.456 lbs/1000 gal x  (0.20 x13,481,725,000 gal/yr) (1 yr/365 days)(1 ton/2000 lb)(1.176) =</t>
  </si>
  <si>
    <t>+</t>
  </si>
  <si>
    <t>=</t>
  </si>
  <si>
    <t>Assume the SCAB throughput is 42% of statewide throughput:</t>
  </si>
  <si>
    <t xml:space="preserve">(6.32 tons/day)(0.42) = </t>
  </si>
  <si>
    <t>tons/day</t>
  </si>
  <si>
    <t>MODULE 4: LIQUID RETENTION</t>
  </si>
  <si>
    <t>This new emission category consists of gasoline evaporative emissions from liquid gasoline in the gasoline nozzles and other hanging hardware which is exposed to the atmosphere between vehicle fuelings.  A new test procedure has been developed to measure amounts of liquid gasoline retained in the nozzle after a fueling.  A new standard limits liquid retention to 500 ml/1000 gallons upon the EVR effective date, and gradually decreasing the limit to 250 ml/1000 gallons after one year and 100 ml/1000 gallons after two years.</t>
  </si>
  <si>
    <t>The emissions due to liquid retention are difficult to estimate as the amount of gasoline which will evaporate depends on the ambient conditions, the surface area of the liquid gasoline exposed, the time until the next fueling and other factors.  For this analysis, we assume that 25% of the gasoline retained will evaporate.</t>
  </si>
  <si>
    <t>Baseline emissions can be estimated from field data collected by ARB staff in September 1999 as summarized below:</t>
  </si>
  <si>
    <t>VR System Info</t>
  </si>
  <si>
    <t>Gallons Pumped</t>
  </si>
  <si>
    <t>AVERAGES</t>
  </si>
  <si>
    <t>Liquid Retained (ml/1000 gal)</t>
  </si>
  <si>
    <t>Liquid Retained (lbs)</t>
  </si>
  <si>
    <t>Emission Factor (lbs/1000 gal)</t>
  </si>
  <si>
    <t>Emissions (lbs) (assume 25% evaporates)</t>
  </si>
  <si>
    <t xml:space="preserve"> lb/1000 gallons</t>
  </si>
  <si>
    <t>(25 ml/1000 gal) (1 gal/3785 ml) (6.24 lb/gal) =</t>
  </si>
  <si>
    <t>Uncontrolled Emission Calculations using 1997 throughput:</t>
  </si>
  <si>
    <t xml:space="preserve">(0.048 lb/1000 gal)(1.35E10 gal/yr)(1yr/365 days)(1 ton/2000 lb)= </t>
  </si>
  <si>
    <t>Total emissions  for future years can be estimated using the gasoline throughput</t>
  </si>
  <si>
    <t>This table summarizes the estimated uncontrolled emissions.</t>
  </si>
  <si>
    <t>The final liquid retain limit of 100 ml/1000 gal is expected to be effective in 2004.  Emission reductions will be calculated for 2005 and 2010 as follows:</t>
  </si>
  <si>
    <t>Controlled emission factor in 2004:</t>
  </si>
  <si>
    <t>Estimated emission reductions for 2005:</t>
  </si>
  <si>
    <t xml:space="preserve">(0.048 - 0.0412 lb/1000 gal)(1.35E10 gal/yr)(1yr/365 days)(1 ton/2000 lb)(1.094) = </t>
  </si>
  <si>
    <t xml:space="preserve">  tons/day statewide</t>
  </si>
  <si>
    <t>0.15 (0.42) =</t>
  </si>
  <si>
    <t>tons/day in SCAB</t>
  </si>
  <si>
    <t>Estimated emission reductions for 2010:</t>
  </si>
  <si>
    <t xml:space="preserve">(0.048 - 0.0412 lb/1000 gal)(1.35E10 gal/yr)(1yr/365 days)(1 ton/2000 lb)(1.176) = </t>
  </si>
  <si>
    <t>MODULE 5: SPILLAGE, INCLUDING “DRIPLESS NOZZLES”</t>
  </si>
  <si>
    <t>The EVR proposal would reduce allowable spillage from 0.42 to 0.38 lbs/1000 gallons.  There will be additional criteria to reduce drops from the nozzle following a fueling.  These drops are included in the total spillage limit.</t>
  </si>
  <si>
    <t>The statewide emission reductions in terms of 1997 throughput are:</t>
  </si>
  <si>
    <t>The emission reductions in the SCAB are:</t>
  </si>
  <si>
    <t xml:space="preserve">(0.74 tons/day)(0.42) = </t>
  </si>
  <si>
    <t>Total emission reductions  for future years can be estimated using the gasoline throughput</t>
  </si>
  <si>
    <t>This table summarizes the estimated emission reductions:</t>
  </si>
  <si>
    <t>MODULE 6: IN-STATION DIAGNOSTICS</t>
  </si>
  <si>
    <t>In-station diagnostics (ISD) are proposed to monitor appropriate vapor recovery parameters and provide a signal when the system is not operating properly.  If significant failures occur, then dispensing would be shut-off automatically.</t>
  </si>
  <si>
    <t xml:space="preserve">The in-use efficiency is believed to depend on system inspection frequency and this is consistent with recent findings of ARB-district joint inspections on assist and balance systems.  </t>
  </si>
  <si>
    <t>1997 estimated excess emissions:</t>
  </si>
  <si>
    <t xml:space="preserve">6.6 tons/day (7.6/8.4)(1.35 x 1010/1.43 x 1010) = </t>
  </si>
  <si>
    <t xml:space="preserve">5.6 (0.42) = </t>
  </si>
  <si>
    <t xml:space="preserve"> tons/day in SCAQMD</t>
  </si>
  <si>
    <t>The emission inventory currently assumes that in-use Phase II vapor recovery systems on average operate at 90% efficiency, even though the systems are certified at 95% efficiency.  However, recent field inspections by several districts and ARB indicate that in-use systems actually operate at lower efficiencies.  Thus, for purposes of this analysis, we will assume ISD will provide that in-use efficiency will increase to 90%.</t>
  </si>
  <si>
    <t>Excess emissions of 6.6 tons/day statewide are estimated due to low A/Ls for two assist systems which are assumed to handle 55% of the state's highway throughput. (reference 5).  This estimate used an uncontrolled emission factor of 8.4 lbs/1000 gal and a different throughput, so we will adjust it here.</t>
  </si>
  <si>
    <t>Gilbarco   (lb/1000 gal)</t>
  </si>
  <si>
    <t>Wayne   (lb/1000 gal)</t>
  </si>
  <si>
    <t>Statewide Excess Emissions (tons/day)</t>
  </si>
  <si>
    <t xml:space="preserve">(0.42 – 0.24) lbs/1000 gal x (13,481,725,000 gal/yr) (1 yr/365 days)(1 ton/2000 lb)= </t>
  </si>
  <si>
    <t>Emission Category</t>
  </si>
  <si>
    <t>SCAB tons/day</t>
  </si>
  <si>
    <t>Statewide tons/day</t>
  </si>
  <si>
    <t>Phase I VR: 95% to 98% efficiency</t>
  </si>
  <si>
    <t>Phase II Pressure related fugitives</t>
  </si>
  <si>
    <t>ORVR Compatibility</t>
  </si>
  <si>
    <t>Liquid Retention</t>
  </si>
  <si>
    <t>Spillage including Dripless Nozzle</t>
  </si>
  <si>
    <t>In-Station Diagnostics</t>
  </si>
  <si>
    <t>TOTALS:</t>
  </si>
  <si>
    <t>2010 ROG
emission reductions 
(7.6 lbs/1000 gallons uncontrolled)</t>
  </si>
  <si>
    <t>2005 ROG
emission reductions 
(7.6 lbs/1000 gallons uncontrolled)</t>
  </si>
  <si>
    <t>Module</t>
  </si>
  <si>
    <t>ENHANCED VAPOR RECOVERY EMISSION REDUCTIONS</t>
  </si>
  <si>
    <t>Last Revised: January 25, 2000</t>
  </si>
  <si>
    <t>C. Castronovo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</si>
</sst>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E+00"/>
    <numFmt numFmtId="166" formatCode="0.0"/>
    <numFmt numFmtId="167" formatCode="0.0000"/>
    <numFmt numFmtId="168" formatCode="mmmm\ d\,\ yyyy"/>
  </numFmts>
  <fonts count="10">
    <font>
      <sz val="10"/>
      <name val="Arial"/>
      <family val="0"/>
    </font>
    <font>
      <sz val="12"/>
      <name val="Arial"/>
      <family val="2"/>
    </font>
    <font>
      <b/>
      <sz val="12"/>
      <name val="Arial"/>
      <family val="2"/>
    </font>
    <font>
      <b/>
      <sz val="14"/>
      <name val="Arial"/>
      <family val="2"/>
    </font>
    <font>
      <b/>
      <sz val="10"/>
      <name val="Arial"/>
      <family val="2"/>
    </font>
    <font>
      <sz val="8"/>
      <name val="Arial"/>
      <family val="0"/>
    </font>
    <font>
      <b/>
      <sz val="11"/>
      <name val="Arial"/>
      <family val="2"/>
    </font>
    <font>
      <sz val="11"/>
      <name val="Arial"/>
      <family val="2"/>
    </font>
    <font>
      <b/>
      <sz val="16"/>
      <name val="Arial"/>
      <family val="2"/>
    </font>
    <font>
      <sz val="16"/>
      <name val="Arial"/>
      <family val="2"/>
    </font>
  </fonts>
  <fills count="3">
    <fill>
      <patternFill/>
    </fill>
    <fill>
      <patternFill patternType="gray125"/>
    </fill>
    <fill>
      <patternFill patternType="solid">
        <fgColor indexed="23"/>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1" fillId="0" borderId="0" xfId="0" applyFont="1" applyAlignment="1">
      <alignment horizontal="center"/>
    </xf>
    <xf numFmtId="2" fontId="1" fillId="0" borderId="0" xfId="0" applyNumberFormat="1" applyFont="1" applyAlignment="1">
      <alignment horizontal="center"/>
    </xf>
    <xf numFmtId="3" fontId="1" fillId="0" borderId="0" xfId="0" applyNumberFormat="1" applyFont="1" applyAlignment="1">
      <alignment/>
    </xf>
    <xf numFmtId="11" fontId="1" fillId="0" borderId="0" xfId="0" applyNumberFormat="1" applyFont="1" applyAlignment="1">
      <alignment/>
    </xf>
    <xf numFmtId="0" fontId="2" fillId="0" borderId="0" xfId="0" applyFont="1" applyAlignment="1">
      <alignment/>
    </xf>
    <xf numFmtId="0" fontId="3" fillId="0" borderId="0" xfId="0" applyFont="1" applyAlignment="1">
      <alignment/>
    </xf>
    <xf numFmtId="0" fontId="1" fillId="0" borderId="1" xfId="0" applyFont="1" applyBorder="1" applyAlignment="1">
      <alignment horizontal="center"/>
    </xf>
    <xf numFmtId="166" fontId="1" fillId="0" borderId="1" xfId="0" applyNumberFormat="1" applyFont="1" applyBorder="1" applyAlignment="1">
      <alignment horizontal="center"/>
    </xf>
    <xf numFmtId="0" fontId="1" fillId="0" borderId="0" xfId="0" applyFont="1" applyAlignment="1">
      <alignment horizontal="right"/>
    </xf>
    <xf numFmtId="0" fontId="0" fillId="0" borderId="0" xfId="0" applyAlignment="1">
      <alignment/>
    </xf>
    <xf numFmtId="0" fontId="1" fillId="0" borderId="0" xfId="0" applyFont="1" applyAlignment="1">
      <alignment/>
    </xf>
    <xf numFmtId="0" fontId="0" fillId="0" borderId="0" xfId="0" applyAlignment="1">
      <alignment horizontal="right"/>
    </xf>
    <xf numFmtId="2" fontId="0" fillId="0" borderId="0" xfId="0" applyNumberFormat="1" applyAlignment="1">
      <alignment/>
    </xf>
    <xf numFmtId="0" fontId="0" fillId="0" borderId="0" xfId="0" applyAlignment="1">
      <alignment horizontal="center"/>
    </xf>
    <xf numFmtId="0" fontId="0" fillId="0" borderId="0" xfId="0" applyFont="1" applyAlignment="1">
      <alignment/>
    </xf>
    <xf numFmtId="0" fontId="0" fillId="0" borderId="1" xfId="0" applyFont="1" applyBorder="1" applyAlignment="1">
      <alignment horizontal="center"/>
    </xf>
    <xf numFmtId="0" fontId="0" fillId="0" borderId="2" xfId="0" applyFont="1" applyBorder="1" applyAlignment="1">
      <alignment horizontal="center"/>
    </xf>
    <xf numFmtId="166" fontId="0" fillId="0" borderId="1" xfId="0" applyNumberFormat="1" applyFont="1" applyBorder="1" applyAlignment="1">
      <alignment horizontal="center"/>
    </xf>
    <xf numFmtId="2" fontId="0" fillId="0" borderId="1" xfId="0" applyNumberFormat="1" applyBorder="1" applyAlignment="1">
      <alignment/>
    </xf>
    <xf numFmtId="2" fontId="0" fillId="0" borderId="0" xfId="0" applyNumberFormat="1" applyFont="1" applyAlignment="1">
      <alignment/>
    </xf>
    <xf numFmtId="164" fontId="0" fillId="0" borderId="0" xfId="0" applyNumberFormat="1" applyFont="1" applyAlignment="1">
      <alignment horizontal="center"/>
    </xf>
    <xf numFmtId="2" fontId="0" fillId="0" borderId="0" xfId="0" applyNumberFormat="1" applyFont="1" applyAlignment="1">
      <alignment horizontal="center"/>
    </xf>
    <xf numFmtId="0" fontId="0" fillId="0" borderId="0" xfId="0" applyAlignment="1">
      <alignment horizontal="left" wrapText="1"/>
    </xf>
    <xf numFmtId="0" fontId="4" fillId="0" borderId="0" xfId="0" applyFont="1" applyAlignment="1">
      <alignment/>
    </xf>
    <xf numFmtId="0" fontId="0" fillId="0" borderId="0" xfId="0" applyAlignment="1">
      <alignment horizontal="center" wrapText="1"/>
    </xf>
    <xf numFmtId="0" fontId="0" fillId="0" borderId="0" xfId="0" applyAlignment="1">
      <alignment wrapText="1"/>
    </xf>
    <xf numFmtId="0" fontId="0" fillId="0" borderId="1" xfId="0" applyBorder="1" applyAlignment="1">
      <alignment horizontal="center" wrapText="1"/>
    </xf>
    <xf numFmtId="164" fontId="0" fillId="0" borderId="1" xfId="0" applyNumberFormat="1" applyBorder="1" applyAlignment="1">
      <alignment horizontal="center"/>
    </xf>
    <xf numFmtId="0" fontId="0" fillId="0" borderId="1" xfId="0" applyBorder="1" applyAlignment="1">
      <alignment horizontal="center"/>
    </xf>
    <xf numFmtId="167" fontId="0" fillId="0" borderId="1" xfId="0" applyNumberFormat="1" applyBorder="1" applyAlignment="1">
      <alignment horizontal="center"/>
    </xf>
    <xf numFmtId="0" fontId="0" fillId="0" borderId="1" xfId="0" applyBorder="1" applyAlignment="1">
      <alignment horizontal="right"/>
    </xf>
    <xf numFmtId="164" fontId="0" fillId="0" borderId="1" xfId="0" applyNumberFormat="1" applyBorder="1" applyAlignment="1">
      <alignment/>
    </xf>
    <xf numFmtId="1" fontId="0" fillId="0" borderId="1" xfId="0" applyNumberFormat="1" applyBorder="1" applyAlignment="1">
      <alignment horizontal="center"/>
    </xf>
    <xf numFmtId="167" fontId="0" fillId="0" borderId="0" xfId="0" applyNumberFormat="1" applyAlignment="1">
      <alignment/>
    </xf>
    <xf numFmtId="2" fontId="0" fillId="0" borderId="1" xfId="0" applyNumberForma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horizontal="center"/>
    </xf>
    <xf numFmtId="0" fontId="0" fillId="0" borderId="0" xfId="0" applyFont="1" applyAlignment="1">
      <alignment horizontal="centerContinuous" wrapText="1"/>
    </xf>
    <xf numFmtId="0" fontId="0" fillId="0" borderId="0" xfId="0" applyFont="1" applyBorder="1" applyAlignment="1">
      <alignment horizontal="centerContinuous" wrapText="1"/>
    </xf>
    <xf numFmtId="2" fontId="0" fillId="0" borderId="0" xfId="0" applyNumberFormat="1" applyBorder="1" applyAlignment="1">
      <alignment horizontal="centerContinuous" wrapText="1"/>
    </xf>
    <xf numFmtId="2" fontId="0" fillId="0" borderId="0" xfId="0" applyNumberFormat="1" applyFont="1" applyBorder="1" applyAlignment="1">
      <alignment horizontal="centerContinuous" wrapText="1"/>
    </xf>
    <xf numFmtId="0" fontId="5" fillId="0" borderId="0" xfId="0" applyFont="1" applyAlignment="1">
      <alignment/>
    </xf>
    <xf numFmtId="0" fontId="0" fillId="0" borderId="0" xfId="0" applyAlignment="1">
      <alignment horizontal="centerContinuous" wrapText="1"/>
    </xf>
    <xf numFmtId="2" fontId="0" fillId="0" borderId="0" xfId="0" applyNumberFormat="1" applyAlignment="1">
      <alignment horizontal="center"/>
    </xf>
    <xf numFmtId="0" fontId="0" fillId="0" borderId="0" xfId="0" applyAlignment="1">
      <alignment horizontal="left"/>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2" fontId="7" fillId="0" borderId="0" xfId="0" applyNumberFormat="1"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166" fontId="7" fillId="0" borderId="1" xfId="0" applyNumberFormat="1" applyFont="1" applyBorder="1" applyAlignment="1">
      <alignment horizontal="center"/>
    </xf>
    <xf numFmtId="2" fontId="0" fillId="0" borderId="0" xfId="0" applyNumberFormat="1" applyFont="1" applyBorder="1" applyAlignment="1">
      <alignment horizontal="center"/>
    </xf>
    <xf numFmtId="2" fontId="0" fillId="0" borderId="3" xfId="0" applyNumberFormat="1" applyFont="1" applyBorder="1" applyAlignment="1">
      <alignment horizontal="center"/>
    </xf>
    <xf numFmtId="166" fontId="0" fillId="0" borderId="0" xfId="0" applyNumberFormat="1" applyFont="1" applyBorder="1" applyAlignment="1">
      <alignment horizontal="center"/>
    </xf>
    <xf numFmtId="166" fontId="0" fillId="0" borderId="3" xfId="0" applyNumberFormat="1" applyFont="1" applyBorder="1" applyAlignment="1">
      <alignment horizontal="center"/>
    </xf>
    <xf numFmtId="2" fontId="0" fillId="0" borderId="4" xfId="0" applyNumberFormat="1" applyFont="1" applyBorder="1" applyAlignment="1">
      <alignment horizontal="center"/>
    </xf>
    <xf numFmtId="2" fontId="0" fillId="0" borderId="5" xfId="0" applyNumberFormat="1" applyFont="1" applyBorder="1" applyAlignment="1">
      <alignment horizontal="center"/>
    </xf>
    <xf numFmtId="0" fontId="0" fillId="0" borderId="1" xfId="0" applyFont="1" applyBorder="1" applyAlignment="1">
      <alignment/>
    </xf>
    <xf numFmtId="2" fontId="0" fillId="0" borderId="1" xfId="0" applyNumberFormat="1" applyFont="1" applyBorder="1" applyAlignment="1">
      <alignment/>
    </xf>
    <xf numFmtId="164" fontId="0"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1" xfId="0" applyFont="1" applyBorder="1" applyAlignment="1">
      <alignment/>
    </xf>
    <xf numFmtId="2" fontId="1" fillId="0" borderId="1" xfId="0" applyNumberFormat="1" applyFont="1" applyBorder="1" applyAlignment="1">
      <alignment/>
    </xf>
    <xf numFmtId="164" fontId="1" fillId="0" borderId="1" xfId="0" applyNumberFormat="1" applyFont="1" applyBorder="1" applyAlignment="1">
      <alignment horizontal="center"/>
    </xf>
    <xf numFmtId="0" fontId="0" fillId="0" borderId="6" xfId="0" applyFont="1" applyBorder="1" applyAlignment="1">
      <alignment/>
    </xf>
    <xf numFmtId="2" fontId="0" fillId="0" borderId="6" xfId="0" applyNumberFormat="1" applyFont="1" applyBorder="1" applyAlignment="1">
      <alignment/>
    </xf>
    <xf numFmtId="164" fontId="0" fillId="0" borderId="6" xfId="0" applyNumberFormat="1" applyFont="1" applyBorder="1" applyAlignment="1">
      <alignment horizontal="center"/>
    </xf>
    <xf numFmtId="0" fontId="0" fillId="0" borderId="7" xfId="0" applyFont="1" applyBorder="1" applyAlignment="1">
      <alignment horizontal="center"/>
    </xf>
    <xf numFmtId="2" fontId="0" fillId="0" borderId="8" xfId="0" applyNumberFormat="1" applyFont="1" applyBorder="1" applyAlignment="1">
      <alignment horizontal="center"/>
    </xf>
    <xf numFmtId="164" fontId="0" fillId="0" borderId="8" xfId="0" applyNumberFormat="1" applyFont="1" applyBorder="1" applyAlignment="1">
      <alignment horizontal="center" wrapText="1"/>
    </xf>
    <xf numFmtId="2" fontId="0" fillId="0" borderId="8" xfId="0" applyNumberFormat="1" applyFont="1" applyBorder="1" applyAlignment="1">
      <alignment horizontal="center" wrapText="1"/>
    </xf>
    <xf numFmtId="2" fontId="0" fillId="0" borderId="9" xfId="0" applyNumberFormat="1" applyFont="1" applyBorder="1" applyAlignment="1">
      <alignment horizontal="center" wrapText="1"/>
    </xf>
    <xf numFmtId="0" fontId="1" fillId="0" borderId="1" xfId="0" applyFont="1" applyBorder="1" applyAlignment="1">
      <alignment wrapText="1"/>
    </xf>
    <xf numFmtId="0" fontId="1" fillId="0" borderId="10"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xf>
    <xf numFmtId="166" fontId="1" fillId="0" borderId="14" xfId="0" applyNumberFormat="1" applyFont="1" applyBorder="1" applyAlignment="1">
      <alignment horizontal="center"/>
    </xf>
    <xf numFmtId="0" fontId="1" fillId="0" borderId="15" xfId="0" applyFont="1" applyBorder="1" applyAlignment="1">
      <alignment/>
    </xf>
    <xf numFmtId="0" fontId="2" fillId="0" borderId="16" xfId="0" applyFont="1" applyBorder="1" applyAlignment="1">
      <alignment wrapText="1"/>
    </xf>
    <xf numFmtId="166" fontId="2" fillId="0" borderId="16" xfId="0" applyNumberFormat="1" applyFont="1" applyBorder="1" applyAlignment="1">
      <alignment horizontal="center"/>
    </xf>
    <xf numFmtId="166" fontId="2" fillId="0" borderId="17" xfId="0" applyNumberFormat="1" applyFont="1" applyBorder="1" applyAlignment="1">
      <alignment horizontal="center"/>
    </xf>
    <xf numFmtId="0" fontId="8" fillId="0" borderId="0" xfId="0" applyFont="1" applyAlignment="1">
      <alignment horizontal="center"/>
    </xf>
    <xf numFmtId="15" fontId="1" fillId="0" borderId="0" xfId="0" applyNumberFormat="1" applyFont="1" applyAlignment="1">
      <alignment horizontal="center"/>
    </xf>
    <xf numFmtId="0" fontId="9" fillId="0" borderId="0" xfId="0" applyFont="1" applyAlignment="1">
      <alignment/>
    </xf>
    <xf numFmtId="0" fontId="9" fillId="0" borderId="0" xfId="0" applyFont="1" applyAlignment="1">
      <alignment horizontal="center"/>
    </xf>
    <xf numFmtId="0" fontId="0" fillId="2" borderId="0" xfId="0" applyFill="1" applyAlignment="1">
      <alignmen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68" fontId="9" fillId="0" borderId="0" xfId="0" applyNumberFormat="1" applyFont="1" applyAlignment="1">
      <alignment horizontal="center"/>
    </xf>
    <xf numFmtId="0" fontId="0" fillId="0" borderId="0" xfId="0" applyAlignment="1">
      <alignment horizontal="center" wrapText="1"/>
    </xf>
    <xf numFmtId="0" fontId="0" fillId="0" borderId="0" xfId="0" applyAlignment="1">
      <alignment horizontal="left" wrapText="1"/>
    </xf>
    <xf numFmtId="0" fontId="1"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G21"/>
  <sheetViews>
    <sheetView tabSelected="1" workbookViewId="0" topLeftCell="A12">
      <selection activeCell="I25" sqref="I25"/>
    </sheetView>
  </sheetViews>
  <sheetFormatPr defaultColWidth="9.140625" defaultRowHeight="12.75"/>
  <cols>
    <col min="1" max="2" width="9.140625" style="1" customWidth="1"/>
    <col min="3" max="3" width="20.421875" style="1" customWidth="1"/>
    <col min="4" max="4" width="13.57421875" style="2" customWidth="1"/>
    <col min="5" max="5" width="12.7109375" style="2" customWidth="1"/>
    <col min="6" max="6" width="13.28125" style="1" customWidth="1"/>
    <col min="7" max="7" width="12.7109375" style="1" customWidth="1"/>
    <col min="8" max="16384" width="9.140625" style="1" customWidth="1"/>
  </cols>
  <sheetData>
    <row r="2" spans="3:5" ht="20.25">
      <c r="C2" s="93"/>
      <c r="D2" s="91"/>
      <c r="E2" s="94"/>
    </row>
    <row r="3" spans="3:5" ht="20.25">
      <c r="C3" s="99"/>
      <c r="D3" s="99"/>
      <c r="E3" s="99"/>
    </row>
    <row r="4" ht="15">
      <c r="D4" s="92"/>
    </row>
    <row r="5" ht="20.25">
      <c r="D5" s="91" t="s">
        <v>143</v>
      </c>
    </row>
    <row r="6" ht="15.75" thickBot="1"/>
    <row r="7" spans="4:7" ht="69.75" customHeight="1" thickBot="1">
      <c r="D7" s="96" t="s">
        <v>141</v>
      </c>
      <c r="E7" s="97"/>
      <c r="F7" s="97" t="s">
        <v>140</v>
      </c>
      <c r="G7" s="98"/>
    </row>
    <row r="8" spans="2:7" ht="34.5" customHeight="1">
      <c r="B8" s="81" t="s">
        <v>142</v>
      </c>
      <c r="C8" s="82" t="s">
        <v>130</v>
      </c>
      <c r="D8" s="83" t="s">
        <v>131</v>
      </c>
      <c r="E8" s="83" t="s">
        <v>132</v>
      </c>
      <c r="F8" s="83" t="s">
        <v>131</v>
      </c>
      <c r="G8" s="84" t="s">
        <v>132</v>
      </c>
    </row>
    <row r="9" spans="2:7" ht="30">
      <c r="B9" s="85">
        <v>1</v>
      </c>
      <c r="C9" s="80" t="s">
        <v>133</v>
      </c>
      <c r="D9" s="9">
        <f>+'Phase I'!E40</f>
        <v>1.9543635616438357</v>
      </c>
      <c r="E9" s="9">
        <f>+'Phase I'!E39</f>
        <v>4.653246575342466</v>
      </c>
      <c r="F9" s="9">
        <f>+'Phase I'!F40</f>
        <v>2.100851506849315</v>
      </c>
      <c r="G9" s="86">
        <f>+'Phase I'!F39</f>
        <v>5.002027397260274</v>
      </c>
    </row>
    <row r="10" spans="2:7" ht="30">
      <c r="B10" s="85">
        <v>2</v>
      </c>
      <c r="C10" s="80" t="s">
        <v>134</v>
      </c>
      <c r="D10" s="9">
        <f>+'Phase II'!E42</f>
        <v>1.2223269493150688</v>
      </c>
      <c r="E10" s="9">
        <f>+'Phase II'!E41</f>
        <v>2.910302260273973</v>
      </c>
      <c r="F10" s="9">
        <f>+'Phase II'!F42</f>
        <v>1.3139456054794523</v>
      </c>
      <c r="G10" s="86">
        <f>+'Phase II'!F41</f>
        <v>3.1284419178082192</v>
      </c>
    </row>
    <row r="11" spans="2:7" ht="30">
      <c r="B11" s="85">
        <v>3</v>
      </c>
      <c r="C11" s="80" t="s">
        <v>135</v>
      </c>
      <c r="D11" s="9">
        <f>+ORVR!F48</f>
        <v>1.4399350619124207</v>
      </c>
      <c r="E11" s="9">
        <f>+ORVR!E48</f>
        <v>3.4284168140771922</v>
      </c>
      <c r="F11" s="9">
        <f>+ORVR!F53</f>
        <v>2.6517363579374473</v>
      </c>
      <c r="G11" s="86">
        <f>+ORVR!E53</f>
        <v>6.3136579950891605</v>
      </c>
    </row>
    <row r="12" spans="2:7" ht="15">
      <c r="B12" s="85">
        <v>4</v>
      </c>
      <c r="C12" s="80" t="s">
        <v>136</v>
      </c>
      <c r="D12" s="9">
        <f>+'Liq retain'!C46</f>
        <v>0.06140862468789774</v>
      </c>
      <c r="E12" s="9">
        <f>+'Liq retain'!C44</f>
        <v>0.1462110111616613</v>
      </c>
      <c r="F12" s="9">
        <f>+'Liq retain'!C54</f>
        <v>0.0660114649295866</v>
      </c>
      <c r="G12" s="86">
        <f>+'Liq retain'!C52</f>
        <v>0.1571701545942538</v>
      </c>
    </row>
    <row r="13" spans="2:7" ht="30">
      <c r="B13" s="85">
        <v>5</v>
      </c>
      <c r="C13" s="80" t="s">
        <v>137</v>
      </c>
      <c r="D13" s="9">
        <f>+Spillage!E26</f>
        <v>1.5295019178082194</v>
      </c>
      <c r="E13" s="9">
        <f>+Spillage!E25</f>
        <v>3.641671232876713</v>
      </c>
      <c r="F13" s="9">
        <f>+Spillage!F26</f>
        <v>1.6441446575342467</v>
      </c>
      <c r="G13" s="86">
        <f>+Spillage!F25</f>
        <v>3.9146301369863017</v>
      </c>
    </row>
    <row r="14" spans="2:7" ht="30">
      <c r="B14" s="85">
        <v>6</v>
      </c>
      <c r="C14" s="80" t="s">
        <v>138</v>
      </c>
      <c r="D14" s="9">
        <f>+ISD!E27</f>
        <v>2.590255384615385</v>
      </c>
      <c r="E14" s="9">
        <f>+ISD!E26</f>
        <v>6.167274725274726</v>
      </c>
      <c r="F14" s="9">
        <f>+ISD!F27</f>
        <v>2.7844061538461538</v>
      </c>
      <c r="G14" s="86">
        <f>+ISD!F26</f>
        <v>6.629538461538462</v>
      </c>
    </row>
    <row r="15" spans="2:7" ht="16.5" thickBot="1">
      <c r="B15" s="87"/>
      <c r="C15" s="88" t="s">
        <v>139</v>
      </c>
      <c r="D15" s="89">
        <f>+SUM(D9:D14)</f>
        <v>8.797791499982827</v>
      </c>
      <c r="E15" s="89">
        <f>+SUM(E9:E14)</f>
        <v>20.94712261900673</v>
      </c>
      <c r="F15" s="89">
        <f>+SUM(F9:F14)</f>
        <v>10.561095746576202</v>
      </c>
      <c r="G15" s="90">
        <f>+SUM(G9:G14)</f>
        <v>25.14546606327667</v>
      </c>
    </row>
    <row r="20" ht="15">
      <c r="E20" s="102" t="s">
        <v>144</v>
      </c>
    </row>
    <row r="21" ht="15">
      <c r="F21" s="102" t="s">
        <v>145</v>
      </c>
    </row>
  </sheetData>
  <mergeCells count="3">
    <mergeCell ref="D7:E7"/>
    <mergeCell ref="F7:G7"/>
    <mergeCell ref="C3:E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G40"/>
  <sheetViews>
    <sheetView workbookViewId="0" topLeftCell="A31">
      <selection activeCell="E14" sqref="E14"/>
    </sheetView>
  </sheetViews>
  <sheetFormatPr defaultColWidth="9.140625" defaultRowHeight="12.75"/>
  <cols>
    <col min="1" max="16384" width="9.140625" style="53" customWidth="1"/>
  </cols>
  <sheetData>
    <row r="2" ht="15">
      <c r="A2" s="52" t="s">
        <v>17</v>
      </c>
    </row>
    <row r="3" ht="15">
      <c r="A3" s="52" t="s">
        <v>18</v>
      </c>
    </row>
    <row r="5" ht="14.25">
      <c r="A5" s="53" t="s">
        <v>19</v>
      </c>
    </row>
    <row r="7" ht="14.25">
      <c r="A7" s="53" t="s">
        <v>20</v>
      </c>
    </row>
    <row r="9" spans="5:7" ht="14.25">
      <c r="E9" s="54" t="s">
        <v>21</v>
      </c>
      <c r="F9" s="53">
        <f>7.6*(1-0.95)</f>
        <v>0.38000000000000034</v>
      </c>
      <c r="G9" s="53" t="s">
        <v>5</v>
      </c>
    </row>
    <row r="11" ht="14.25">
      <c r="A11" s="53" t="s">
        <v>22</v>
      </c>
    </row>
    <row r="13" spans="5:7" ht="14.25">
      <c r="E13" s="54" t="s">
        <v>23</v>
      </c>
      <c r="F13" s="53">
        <f>7.6*(1-0.98)</f>
        <v>0.15200000000000014</v>
      </c>
      <c r="G13" s="53" t="s">
        <v>5</v>
      </c>
    </row>
    <row r="15" ht="14.25">
      <c r="A15" s="53" t="s">
        <v>24</v>
      </c>
    </row>
    <row r="16" ht="14.25">
      <c r="A16" s="53" t="s">
        <v>25</v>
      </c>
    </row>
    <row r="18" ht="14.25">
      <c r="A18" s="53" t="s">
        <v>26</v>
      </c>
    </row>
    <row r="20" ht="14.25">
      <c r="A20" s="53" t="s">
        <v>27</v>
      </c>
    </row>
    <row r="22" spans="3:4" ht="14.25">
      <c r="C22" s="55">
        <f>+(0.38-0.15)/1000*13500000000/365/2000</f>
        <v>4.2534246575342465</v>
      </c>
      <c r="D22" s="53" t="s">
        <v>36</v>
      </c>
    </row>
    <row r="24" ht="14.25">
      <c r="A24" s="53" t="s">
        <v>29</v>
      </c>
    </row>
    <row r="25" ht="14.25">
      <c r="A25" s="53" t="s">
        <v>30</v>
      </c>
    </row>
    <row r="26" ht="14.25">
      <c r="A26" s="53" t="s">
        <v>28</v>
      </c>
    </row>
    <row r="28" spans="5:7" ht="14.25">
      <c r="E28" s="54" t="s">
        <v>37</v>
      </c>
      <c r="F28" s="55">
        <f>+(0.38-0.15)/1000*13500000000/365/2000*0.42</f>
        <v>1.7864383561643835</v>
      </c>
      <c r="G28" s="53" t="s">
        <v>38</v>
      </c>
    </row>
    <row r="30" ht="14.25">
      <c r="A30" s="53" t="s">
        <v>31</v>
      </c>
    </row>
    <row r="31" ht="14.25">
      <c r="A31" s="53" t="s">
        <v>32</v>
      </c>
    </row>
    <row r="33" spans="3:6" ht="14.25">
      <c r="C33" s="56">
        <v>1997</v>
      </c>
      <c r="D33" s="56">
        <v>2000</v>
      </c>
      <c r="E33" s="56">
        <v>2005</v>
      </c>
      <c r="F33" s="56">
        <v>2010</v>
      </c>
    </row>
    <row r="34" spans="3:6" ht="14.25">
      <c r="C34" s="56">
        <v>1</v>
      </c>
      <c r="D34" s="56">
        <v>1.017</v>
      </c>
      <c r="E34" s="56">
        <v>1.094</v>
      </c>
      <c r="F34" s="56">
        <v>1.176</v>
      </c>
    </row>
    <row r="36" ht="14.25">
      <c r="A36" s="53" t="s">
        <v>33</v>
      </c>
    </row>
    <row r="38" spans="3:6" ht="14.25">
      <c r="C38" s="56">
        <v>1997</v>
      </c>
      <c r="D38" s="57">
        <v>2000</v>
      </c>
      <c r="E38" s="57">
        <v>2005</v>
      </c>
      <c r="F38" s="57">
        <v>2010</v>
      </c>
    </row>
    <row r="39" spans="2:6" ht="14.25">
      <c r="B39" s="56" t="s">
        <v>34</v>
      </c>
      <c r="C39" s="58">
        <f>+(0.38-0.15)/1000*13500000000/365/2000</f>
        <v>4.2534246575342465</v>
      </c>
      <c r="D39" s="58">
        <f>+C39*D34</f>
        <v>4.325732876712328</v>
      </c>
      <c r="E39" s="58">
        <f>+C39*E34</f>
        <v>4.653246575342466</v>
      </c>
      <c r="F39" s="58">
        <f>+C39*F34</f>
        <v>5.002027397260274</v>
      </c>
    </row>
    <row r="40" spans="2:6" ht="14.25">
      <c r="B40" s="56" t="s">
        <v>35</v>
      </c>
      <c r="C40" s="58">
        <f>+(0.38-0.15)/1000*13500000000/365/2000*0.42</f>
        <v>1.7864383561643835</v>
      </c>
      <c r="D40" s="58">
        <f>+C40*D34</f>
        <v>1.8168078082191779</v>
      </c>
      <c r="E40" s="58">
        <f>+C40*E34</f>
        <v>1.9543635616438357</v>
      </c>
      <c r="F40" s="58">
        <f>+C40*F34</f>
        <v>2.100851506849315</v>
      </c>
    </row>
  </sheetData>
  <printOptions/>
  <pageMargins left="0.75" right="0.46"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I42"/>
  <sheetViews>
    <sheetView workbookViewId="0" topLeftCell="A34">
      <selection activeCell="A2" sqref="A2"/>
    </sheetView>
  </sheetViews>
  <sheetFormatPr defaultColWidth="9.140625" defaultRowHeight="12.75"/>
  <sheetData>
    <row r="2" spans="1:2" ht="15.75">
      <c r="A2" s="6" t="s">
        <v>17</v>
      </c>
      <c r="B2" s="1"/>
    </row>
    <row r="3" spans="1:2" ht="15.75">
      <c r="A3" s="6" t="s">
        <v>39</v>
      </c>
      <c r="B3" s="1"/>
    </row>
    <row r="5" spans="1:4" ht="12.75">
      <c r="A5" s="11" t="s">
        <v>43</v>
      </c>
      <c r="B5" s="11"/>
      <c r="C5" s="11"/>
      <c r="D5" s="11"/>
    </row>
    <row r="6" spans="1:4" ht="12.75">
      <c r="A6" s="11" t="s">
        <v>44</v>
      </c>
      <c r="B6" s="11"/>
      <c r="C6" s="11"/>
      <c r="D6" s="11"/>
    </row>
    <row r="7" spans="1:4" ht="12.75">
      <c r="A7" s="11" t="s">
        <v>45</v>
      </c>
      <c r="B7" s="11"/>
      <c r="C7" s="11"/>
      <c r="D7" s="11"/>
    </row>
    <row r="8" spans="1:4" ht="12.75">
      <c r="A8" s="11"/>
      <c r="B8" s="11"/>
      <c r="C8" s="11"/>
      <c r="D8" s="11"/>
    </row>
    <row r="9" spans="1:4" ht="12.75">
      <c r="A9" s="11" t="s">
        <v>46</v>
      </c>
      <c r="B9" s="11"/>
      <c r="C9" s="11"/>
      <c r="D9" s="11"/>
    </row>
    <row r="10" spans="1:4" ht="12.75">
      <c r="A10" s="11" t="s">
        <v>51</v>
      </c>
      <c r="B10" s="11"/>
      <c r="C10" s="11"/>
      <c r="D10" s="11"/>
    </row>
    <row r="11" spans="1:4" ht="12.75">
      <c r="A11" s="11"/>
      <c r="B11" s="11"/>
      <c r="C11" s="11"/>
      <c r="D11" s="11"/>
    </row>
    <row r="12" spans="1:7" ht="12.75">
      <c r="A12" s="11" t="s">
        <v>55</v>
      </c>
      <c r="B12" s="11"/>
      <c r="C12" s="11"/>
      <c r="D12" s="11"/>
      <c r="F12">
        <v>0.395</v>
      </c>
      <c r="G12" t="s">
        <v>57</v>
      </c>
    </row>
    <row r="13" spans="1:7" ht="12.75">
      <c r="A13" s="11" t="s">
        <v>56</v>
      </c>
      <c r="B13" s="11"/>
      <c r="C13" s="11"/>
      <c r="D13" s="11"/>
      <c r="F13">
        <v>0.028</v>
      </c>
      <c r="G13" t="s">
        <v>57</v>
      </c>
    </row>
    <row r="14" spans="1:4" ht="12.75">
      <c r="A14" s="11"/>
      <c r="B14" s="11"/>
      <c r="C14" s="11"/>
      <c r="D14" s="11"/>
    </row>
    <row r="15" spans="1:4" ht="12.75">
      <c r="A15" s="11" t="s">
        <v>47</v>
      </c>
      <c r="B15" s="11"/>
      <c r="C15" s="11"/>
      <c r="D15" s="11"/>
    </row>
    <row r="16" spans="1:4" ht="12.75">
      <c r="A16" s="11" t="s">
        <v>52</v>
      </c>
      <c r="B16" s="11"/>
      <c r="C16" s="11"/>
      <c r="D16" s="11"/>
    </row>
    <row r="17" spans="1:4" ht="12.75">
      <c r="A17" s="11" t="s">
        <v>53</v>
      </c>
      <c r="B17" s="11"/>
      <c r="C17" s="11"/>
      <c r="D17" s="11"/>
    </row>
    <row r="18" spans="1:4" ht="12.75">
      <c r="A18" s="11"/>
      <c r="B18" s="11"/>
      <c r="C18" s="11"/>
      <c r="D18" s="11"/>
    </row>
    <row r="19" spans="1:4" ht="12.75">
      <c r="A19" s="11" t="s">
        <v>26</v>
      </c>
      <c r="B19" s="11"/>
      <c r="C19" s="11"/>
      <c r="D19" s="11"/>
    </row>
    <row r="20" spans="1:4" ht="12.75">
      <c r="A20" s="11"/>
      <c r="B20" s="11"/>
      <c r="C20" s="11"/>
      <c r="D20" s="11"/>
    </row>
    <row r="21" spans="1:4" ht="12.75">
      <c r="A21" s="11" t="s">
        <v>40</v>
      </c>
      <c r="B21" s="11"/>
      <c r="C21" s="11"/>
      <c r="D21" s="11"/>
    </row>
    <row r="22" spans="1:4" ht="12.75">
      <c r="A22" s="11" t="s">
        <v>41</v>
      </c>
      <c r="B22" s="11"/>
      <c r="C22" s="11"/>
      <c r="D22" s="11"/>
    </row>
    <row r="23" spans="1:4" ht="12.75">
      <c r="A23" s="11"/>
      <c r="B23" s="11"/>
      <c r="C23" s="11"/>
      <c r="D23" s="11"/>
    </row>
    <row r="24" spans="1:7" ht="12.75">
      <c r="A24" s="11"/>
      <c r="B24" s="14">
        <f>(0.395/1000*0.35*13500000000/365/2000)</f>
        <v>2.556678082191781</v>
      </c>
      <c r="C24" s="15" t="s">
        <v>59</v>
      </c>
      <c r="D24" s="14">
        <f>(0.028/1000*0.2*13500000000/365/2000)</f>
        <v>0.10356164383561646</v>
      </c>
      <c r="E24" s="15" t="s">
        <v>58</v>
      </c>
      <c r="F24" s="14">
        <f>+B24+D24</f>
        <v>2.6602397260273976</v>
      </c>
      <c r="G24" t="s">
        <v>36</v>
      </c>
    </row>
    <row r="25" spans="1:4" ht="12.75">
      <c r="A25" s="11"/>
      <c r="C25" s="13"/>
      <c r="D25" s="11"/>
    </row>
    <row r="26" spans="1:4" ht="12.75">
      <c r="A26" s="11" t="s">
        <v>54</v>
      </c>
      <c r="B26" s="11"/>
      <c r="C26" s="11"/>
      <c r="D26" s="11"/>
    </row>
    <row r="27" spans="1:4" ht="12.75">
      <c r="A27" s="11" t="s">
        <v>28</v>
      </c>
      <c r="B27" s="11"/>
      <c r="C27" s="11"/>
      <c r="D27" s="11"/>
    </row>
    <row r="28" spans="1:4" ht="12.75">
      <c r="A28" s="11"/>
      <c r="B28" s="11"/>
      <c r="C28" s="11"/>
      <c r="D28" s="11"/>
    </row>
    <row r="29" spans="1:6" ht="12.75">
      <c r="A29" s="11"/>
      <c r="B29" s="11"/>
      <c r="D29" s="13" t="s">
        <v>60</v>
      </c>
      <c r="E29" s="14">
        <f>+F24*0.42</f>
        <v>1.117300684931507</v>
      </c>
      <c r="F29" t="s">
        <v>38</v>
      </c>
    </row>
    <row r="30" spans="1:4" ht="12.75">
      <c r="A30" s="11"/>
      <c r="B30" s="11"/>
      <c r="C30" s="11"/>
      <c r="D30" s="11"/>
    </row>
    <row r="31" spans="1:4" ht="12.75">
      <c r="A31" s="11"/>
      <c r="B31" s="11"/>
      <c r="C31" s="11"/>
      <c r="D31" s="11"/>
    </row>
    <row r="32" spans="1:9" ht="12.75">
      <c r="A32" s="16" t="s">
        <v>31</v>
      </c>
      <c r="B32" s="16"/>
      <c r="C32" s="16"/>
      <c r="D32" s="16"/>
      <c r="E32" s="16"/>
      <c r="F32" s="16"/>
      <c r="G32" s="16"/>
      <c r="H32" s="16"/>
      <c r="I32" s="16"/>
    </row>
    <row r="33" spans="1:9" ht="12.75">
      <c r="A33" s="16" t="s">
        <v>32</v>
      </c>
      <c r="B33" s="16"/>
      <c r="C33" s="16"/>
      <c r="D33" s="16"/>
      <c r="E33" s="16"/>
      <c r="F33" s="16"/>
      <c r="G33" s="16"/>
      <c r="H33" s="16"/>
      <c r="I33" s="16"/>
    </row>
    <row r="34" spans="1:9" ht="12.75">
      <c r="A34" s="16"/>
      <c r="B34" s="16"/>
      <c r="C34" s="16"/>
      <c r="D34" s="16"/>
      <c r="E34" s="16"/>
      <c r="F34" s="16"/>
      <c r="G34" s="16"/>
      <c r="H34" s="16"/>
      <c r="I34" s="16"/>
    </row>
    <row r="35" spans="1:9" ht="12.75">
      <c r="A35" s="16"/>
      <c r="B35" s="16"/>
      <c r="C35" s="17">
        <v>1997</v>
      </c>
      <c r="D35" s="17">
        <v>2000</v>
      </c>
      <c r="E35" s="17">
        <v>2005</v>
      </c>
      <c r="F35" s="17">
        <v>2010</v>
      </c>
      <c r="G35" s="16"/>
      <c r="H35" s="16"/>
      <c r="I35" s="16"/>
    </row>
    <row r="36" spans="1:9" ht="12.75">
      <c r="A36" s="16"/>
      <c r="B36" s="16"/>
      <c r="C36" s="17">
        <v>1</v>
      </c>
      <c r="D36" s="17">
        <v>1.017</v>
      </c>
      <c r="E36" s="17">
        <v>1.094</v>
      </c>
      <c r="F36" s="17">
        <v>1.176</v>
      </c>
      <c r="G36" s="16"/>
      <c r="H36" s="16"/>
      <c r="I36" s="16"/>
    </row>
    <row r="37" spans="1:9" ht="12.75">
      <c r="A37" s="16"/>
      <c r="B37" s="16"/>
      <c r="C37" s="16"/>
      <c r="D37" s="16"/>
      <c r="E37" s="16"/>
      <c r="F37" s="16"/>
      <c r="G37" s="16"/>
      <c r="H37" s="16"/>
      <c r="I37" s="16"/>
    </row>
    <row r="38" spans="1:9" ht="12.75">
      <c r="A38" s="16" t="s">
        <v>33</v>
      </c>
      <c r="B38" s="16"/>
      <c r="C38" s="16"/>
      <c r="D38" s="16"/>
      <c r="E38" s="16"/>
      <c r="F38" s="16"/>
      <c r="G38" s="16"/>
      <c r="H38" s="16"/>
      <c r="I38" s="16"/>
    </row>
    <row r="39" spans="1:9" ht="12.75">
      <c r="A39" s="16"/>
      <c r="B39" s="16"/>
      <c r="C39" s="16"/>
      <c r="D39" s="16"/>
      <c r="E39" s="16"/>
      <c r="F39" s="16"/>
      <c r="G39" s="16"/>
      <c r="H39" s="16"/>
      <c r="I39" s="16"/>
    </row>
    <row r="40" spans="1:9" ht="12.75">
      <c r="A40" s="16"/>
      <c r="B40" s="16"/>
      <c r="C40" s="17">
        <v>1997</v>
      </c>
      <c r="D40" s="18">
        <v>2000</v>
      </c>
      <c r="E40" s="18">
        <v>2005</v>
      </c>
      <c r="F40" s="18">
        <v>2010</v>
      </c>
      <c r="G40" s="16"/>
      <c r="H40" s="16"/>
      <c r="I40" s="16"/>
    </row>
    <row r="41" spans="1:9" ht="12.75">
      <c r="A41" s="16"/>
      <c r="B41" s="17" t="s">
        <v>34</v>
      </c>
      <c r="C41" s="20">
        <v>2.6602397260273976</v>
      </c>
      <c r="D41" s="19">
        <f>+C41*D36</f>
        <v>2.705463801369863</v>
      </c>
      <c r="E41" s="19">
        <f>+C41*E36</f>
        <v>2.910302260273973</v>
      </c>
      <c r="F41" s="19">
        <f>+C41*F36</f>
        <v>3.1284419178082192</v>
      </c>
      <c r="G41" s="16"/>
      <c r="H41" s="16"/>
      <c r="I41" s="16"/>
    </row>
    <row r="42" spans="1:9" ht="12.75">
      <c r="A42" s="16"/>
      <c r="B42" s="17" t="s">
        <v>35</v>
      </c>
      <c r="C42" s="20">
        <v>1.117300684931507</v>
      </c>
      <c r="D42" s="19">
        <f>+C42*D36</f>
        <v>1.1362947965753425</v>
      </c>
      <c r="E42" s="19">
        <f>+C42*E36</f>
        <v>1.2223269493150688</v>
      </c>
      <c r="F42" s="19">
        <f>+C42*F36</f>
        <v>1.3139456054794523</v>
      </c>
      <c r="G42" s="16"/>
      <c r="H42" s="16"/>
      <c r="I42" s="16"/>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78"/>
  <sheetViews>
    <sheetView workbookViewId="0" topLeftCell="A38">
      <selection activeCell="G53" sqref="G53"/>
    </sheetView>
  </sheetViews>
  <sheetFormatPr defaultColWidth="9.140625" defaultRowHeight="12.75"/>
  <cols>
    <col min="3" max="3" width="11.7109375" style="0" customWidth="1"/>
    <col min="4" max="4" width="11.140625" style="0" customWidth="1"/>
    <col min="5" max="5" width="10.00390625" style="0" customWidth="1"/>
    <col min="6" max="6" width="10.140625" style="0" customWidth="1"/>
  </cols>
  <sheetData>
    <row r="1" ht="15.75">
      <c r="A1" s="6" t="s">
        <v>17</v>
      </c>
    </row>
    <row r="2" spans="1:2" ht="15.75">
      <c r="A2" s="6" t="s">
        <v>61</v>
      </c>
      <c r="B2" s="25"/>
    </row>
    <row r="4" spans="1:9" ht="56.25" customHeight="1">
      <c r="A4" s="101" t="s">
        <v>62</v>
      </c>
      <c r="B4" s="101"/>
      <c r="C4" s="101"/>
      <c r="D4" s="101"/>
      <c r="E4" s="101"/>
      <c r="F4" s="101"/>
      <c r="G4" s="101"/>
      <c r="H4" s="101"/>
      <c r="I4" s="101"/>
    </row>
    <row r="5" ht="9.75" customHeight="1"/>
    <row r="6" spans="1:9" ht="102.75" customHeight="1">
      <c r="A6" s="101" t="s">
        <v>63</v>
      </c>
      <c r="B6" s="101"/>
      <c r="C6" s="101"/>
      <c r="D6" s="101"/>
      <c r="E6" s="101"/>
      <c r="F6" s="101"/>
      <c r="G6" s="101"/>
      <c r="H6" s="101"/>
      <c r="I6" s="101"/>
    </row>
    <row r="8" spans="1:9" ht="42" customHeight="1">
      <c r="A8" s="101" t="s">
        <v>64</v>
      </c>
      <c r="B8" s="101"/>
      <c r="C8" s="101"/>
      <c r="D8" s="101"/>
      <c r="E8" s="101"/>
      <c r="F8" s="101"/>
      <c r="G8" s="101"/>
      <c r="H8" s="101"/>
      <c r="I8" s="101"/>
    </row>
    <row r="10" ht="12.75">
      <c r="A10" t="s">
        <v>65</v>
      </c>
    </row>
    <row r="11" spans="1:9" ht="12.75">
      <c r="A11">
        <v>0.782</v>
      </c>
      <c r="B11" t="s">
        <v>69</v>
      </c>
      <c r="D11">
        <v>-0.396</v>
      </c>
      <c r="E11" t="s">
        <v>70</v>
      </c>
      <c r="H11">
        <f>+A11+D11</f>
        <v>0.386</v>
      </c>
      <c r="I11" t="s">
        <v>72</v>
      </c>
    </row>
    <row r="13" ht="12.75">
      <c r="A13" t="s">
        <v>66</v>
      </c>
    </row>
    <row r="14" spans="1:9" ht="12.75">
      <c r="A14">
        <v>0.289</v>
      </c>
      <c r="B14" t="s">
        <v>71</v>
      </c>
      <c r="D14">
        <v>-0.026</v>
      </c>
      <c r="E14" t="s">
        <v>70</v>
      </c>
      <c r="H14">
        <f>+A14+D14</f>
        <v>0.26299999999999996</v>
      </c>
      <c r="I14" t="s">
        <v>72</v>
      </c>
    </row>
    <row r="16" spans="1:9" ht="39" customHeight="1">
      <c r="A16" s="101" t="s">
        <v>67</v>
      </c>
      <c r="B16" s="101"/>
      <c r="C16" s="101"/>
      <c r="D16" s="101"/>
      <c r="E16" s="101"/>
      <c r="F16" s="101"/>
      <c r="G16" s="101"/>
      <c r="H16" s="101"/>
      <c r="I16" s="101"/>
    </row>
    <row r="18" spans="1:9" ht="26.25" customHeight="1">
      <c r="A18" s="101" t="s">
        <v>68</v>
      </c>
      <c r="B18" s="101"/>
      <c r="C18" s="101"/>
      <c r="D18" s="101"/>
      <c r="E18" s="101"/>
      <c r="F18" s="101"/>
      <c r="G18" s="101"/>
      <c r="H18" s="101"/>
      <c r="I18" s="101"/>
    </row>
    <row r="38" spans="1:9" ht="25.5" customHeight="1">
      <c r="A38" s="100" t="s">
        <v>76</v>
      </c>
      <c r="B38" s="100"/>
      <c r="C38" s="100"/>
      <c r="D38" s="100"/>
      <c r="E38" s="100"/>
      <c r="F38" s="100"/>
      <c r="G38" s="100"/>
      <c r="H38" s="100"/>
      <c r="I38" s="100"/>
    </row>
    <row r="39" spans="1:9" ht="13.5" customHeight="1" thickBot="1">
      <c r="A39" s="26"/>
      <c r="B39" s="26"/>
      <c r="C39" s="26"/>
      <c r="D39" s="26"/>
      <c r="E39" s="26"/>
      <c r="F39" s="26"/>
      <c r="G39" s="26"/>
      <c r="H39" s="26"/>
      <c r="I39" s="26"/>
    </row>
    <row r="40" spans="1:6" ht="51.75" thickBot="1">
      <c r="A40" s="75" t="s">
        <v>0</v>
      </c>
      <c r="B40" s="76" t="s">
        <v>1</v>
      </c>
      <c r="C40" s="77" t="s">
        <v>126</v>
      </c>
      <c r="D40" s="77" t="s">
        <v>127</v>
      </c>
      <c r="E40" s="78" t="s">
        <v>128</v>
      </c>
      <c r="F40" s="79" t="s">
        <v>2</v>
      </c>
    </row>
    <row r="41" spans="1:6" ht="12.75">
      <c r="A41" s="72">
        <v>1998</v>
      </c>
      <c r="B41" s="73">
        <v>0.43</v>
      </c>
      <c r="C41" s="74">
        <f aca="true" t="shared" si="0" ref="C41:C48">+B41*0.86/100</f>
        <v>0.0036979999999999995</v>
      </c>
      <c r="D41" s="74">
        <f aca="true" t="shared" si="1" ref="D41:D47">+B41*0.688/100</f>
        <v>0.0029584</v>
      </c>
      <c r="E41" s="59"/>
      <c r="F41" s="60"/>
    </row>
    <row r="42" spans="1:6" ht="12.75">
      <c r="A42" s="65">
        <v>1999</v>
      </c>
      <c r="B42" s="66">
        <v>3</v>
      </c>
      <c r="C42" s="67">
        <f t="shared" si="0"/>
        <v>0.0258</v>
      </c>
      <c r="D42" s="67">
        <f t="shared" si="1"/>
        <v>0.020640000000000002</v>
      </c>
      <c r="E42" s="59"/>
      <c r="F42" s="60"/>
    </row>
    <row r="43" spans="1:6" ht="12.75">
      <c r="A43" s="65">
        <v>2000</v>
      </c>
      <c r="B43" s="66">
        <v>7.32</v>
      </c>
      <c r="C43" s="67">
        <f t="shared" si="0"/>
        <v>0.06295200000000001</v>
      </c>
      <c r="D43" s="67">
        <f t="shared" si="1"/>
        <v>0.0503616</v>
      </c>
      <c r="E43" s="19">
        <f>((+C43*0.35*13481725000/365/2000/1000)+(+D43*0.2*13481725000/365/2000/1000))*1.017</f>
        <v>0.6030082658624301</v>
      </c>
      <c r="F43" s="19">
        <f>+E43*0.42</f>
        <v>0.25326347166222063</v>
      </c>
    </row>
    <row r="44" spans="1:6" ht="12.75">
      <c r="A44" s="65">
        <v>2001</v>
      </c>
      <c r="B44" s="66">
        <v>12.7</v>
      </c>
      <c r="C44" s="67">
        <f t="shared" si="0"/>
        <v>0.10921999999999998</v>
      </c>
      <c r="D44" s="67">
        <f t="shared" si="1"/>
        <v>0.08737599999999998</v>
      </c>
      <c r="E44" s="61"/>
      <c r="F44" s="62"/>
    </row>
    <row r="45" spans="1:6" ht="12.75">
      <c r="A45" s="65">
        <v>2002</v>
      </c>
      <c r="B45" s="66">
        <v>19</v>
      </c>
      <c r="C45" s="67">
        <f t="shared" si="0"/>
        <v>0.1634</v>
      </c>
      <c r="D45" s="67">
        <f t="shared" si="1"/>
        <v>0.13072</v>
      </c>
      <c r="E45" s="61"/>
      <c r="F45" s="62"/>
    </row>
    <row r="46" spans="1:6" ht="12.75">
      <c r="A46" s="65">
        <v>2003</v>
      </c>
      <c r="B46" s="66">
        <v>25.91</v>
      </c>
      <c r="C46" s="67">
        <f t="shared" si="0"/>
        <v>0.222826</v>
      </c>
      <c r="D46" s="67">
        <f t="shared" si="1"/>
        <v>0.17826079999999997</v>
      </c>
      <c r="E46" s="61"/>
      <c r="F46" s="62"/>
    </row>
    <row r="47" spans="1:6" ht="12.75">
      <c r="A47" s="65">
        <v>2004</v>
      </c>
      <c r="B47" s="66">
        <v>32.61</v>
      </c>
      <c r="C47" s="67">
        <f t="shared" si="0"/>
        <v>0.280446</v>
      </c>
      <c r="D47" s="67">
        <f t="shared" si="1"/>
        <v>0.22435679999999997</v>
      </c>
      <c r="E47" s="61"/>
      <c r="F47" s="62"/>
    </row>
    <row r="48" spans="1:6" ht="12.75">
      <c r="A48" s="65">
        <v>2005</v>
      </c>
      <c r="B48" s="66">
        <v>38.9</v>
      </c>
      <c r="C48" s="67">
        <f t="shared" si="0"/>
        <v>0.33454</v>
      </c>
      <c r="D48" s="68">
        <v>0.263</v>
      </c>
      <c r="E48" s="19">
        <f>((+C48*0.35*13481725000/365/2000/1000)+(+D48*0.2*13481725000/365/2000/1000))*1.094</f>
        <v>3.4284168140771922</v>
      </c>
      <c r="F48" s="19">
        <f>+E48*0.42</f>
        <v>1.4399350619124207</v>
      </c>
    </row>
    <row r="49" spans="1:6" ht="12.75">
      <c r="A49" s="65">
        <v>2006</v>
      </c>
      <c r="B49" s="66">
        <v>44.86</v>
      </c>
      <c r="C49" s="68">
        <v>0.386</v>
      </c>
      <c r="D49" s="67">
        <f aca="true" t="shared" si="2" ref="D49:D63">+B49*0.688/100</f>
        <v>0.3086368</v>
      </c>
      <c r="E49" s="61"/>
      <c r="F49" s="62"/>
    </row>
    <row r="50" spans="1:6" ht="12.75">
      <c r="A50" s="65">
        <v>2007</v>
      </c>
      <c r="B50" s="66">
        <v>50.54</v>
      </c>
      <c r="C50" s="67">
        <f aca="true" t="shared" si="3" ref="C50:C63">+B50*0.86/100</f>
        <v>0.434644</v>
      </c>
      <c r="D50" s="67">
        <f t="shared" si="2"/>
        <v>0.34771519999999995</v>
      </c>
      <c r="E50" s="61"/>
      <c r="F50" s="62"/>
    </row>
    <row r="51" spans="1:6" ht="12.75">
      <c r="A51" s="65">
        <v>2008</v>
      </c>
      <c r="B51" s="66">
        <v>56.03</v>
      </c>
      <c r="C51" s="67">
        <f t="shared" si="3"/>
        <v>0.481858</v>
      </c>
      <c r="D51" s="67">
        <f t="shared" si="2"/>
        <v>0.3854864</v>
      </c>
      <c r="E51" s="61"/>
      <c r="F51" s="62"/>
    </row>
    <row r="52" spans="1:6" ht="12.75">
      <c r="A52" s="65">
        <v>2009</v>
      </c>
      <c r="B52" s="66">
        <v>61.26</v>
      </c>
      <c r="C52" s="67">
        <f t="shared" si="3"/>
        <v>0.526836</v>
      </c>
      <c r="D52" s="67">
        <f t="shared" si="2"/>
        <v>0.4214688</v>
      </c>
      <c r="E52" s="61"/>
      <c r="F52" s="62"/>
    </row>
    <row r="53" spans="1:6" ht="15">
      <c r="A53" s="69">
        <v>2010</v>
      </c>
      <c r="B53" s="70">
        <v>66.28</v>
      </c>
      <c r="C53" s="71">
        <f t="shared" si="3"/>
        <v>0.570008</v>
      </c>
      <c r="D53" s="71">
        <f t="shared" si="2"/>
        <v>0.4560064</v>
      </c>
      <c r="E53" s="9">
        <f>((+C53*0.35*13481725000/365/2000/1000)+(+D53*0.2*13481725000/365/2000/1000))*1.176</f>
        <v>6.3136579950891605</v>
      </c>
      <c r="F53" s="9">
        <f>+E53*0.42</f>
        <v>2.6517363579374473</v>
      </c>
    </row>
    <row r="54" spans="1:6" ht="12.75">
      <c r="A54" s="65">
        <v>2011</v>
      </c>
      <c r="B54" s="66">
        <v>71.04</v>
      </c>
      <c r="C54" s="67">
        <f t="shared" si="3"/>
        <v>0.610944</v>
      </c>
      <c r="D54" s="67">
        <f t="shared" si="2"/>
        <v>0.4887552</v>
      </c>
      <c r="E54" s="59"/>
      <c r="F54" s="60"/>
    </row>
    <row r="55" spans="1:6" ht="12.75">
      <c r="A55" s="65">
        <v>2012</v>
      </c>
      <c r="B55" s="66">
        <v>75.28</v>
      </c>
      <c r="C55" s="67">
        <f t="shared" si="3"/>
        <v>0.647408</v>
      </c>
      <c r="D55" s="67">
        <f t="shared" si="2"/>
        <v>0.5179264</v>
      </c>
      <c r="E55" s="59"/>
      <c r="F55" s="60"/>
    </row>
    <row r="56" spans="1:6" ht="12.75">
      <c r="A56" s="65">
        <v>2013</v>
      </c>
      <c r="B56" s="66">
        <v>78.63</v>
      </c>
      <c r="C56" s="67">
        <f t="shared" si="3"/>
        <v>0.676218</v>
      </c>
      <c r="D56" s="67">
        <f t="shared" si="2"/>
        <v>0.5409744</v>
      </c>
      <c r="E56" s="59"/>
      <c r="F56" s="60"/>
    </row>
    <row r="57" spans="1:6" ht="12.75">
      <c r="A57" s="65">
        <v>2014</v>
      </c>
      <c r="B57" s="66">
        <v>81.23</v>
      </c>
      <c r="C57" s="67">
        <f t="shared" si="3"/>
        <v>0.6985779999999999</v>
      </c>
      <c r="D57" s="67">
        <f t="shared" si="2"/>
        <v>0.5588624</v>
      </c>
      <c r="E57" s="59"/>
      <c r="F57" s="60"/>
    </row>
    <row r="58" spans="1:6" ht="12.75">
      <c r="A58" s="65">
        <v>2015</v>
      </c>
      <c r="B58" s="66">
        <v>83.4</v>
      </c>
      <c r="C58" s="67">
        <f t="shared" si="3"/>
        <v>0.71724</v>
      </c>
      <c r="D58" s="67">
        <f t="shared" si="2"/>
        <v>0.573792</v>
      </c>
      <c r="E58" s="59"/>
      <c r="F58" s="60"/>
    </row>
    <row r="59" spans="1:6" ht="12.75">
      <c r="A59" s="65">
        <v>2016</v>
      </c>
      <c r="B59" s="66">
        <v>85.3</v>
      </c>
      <c r="C59" s="67">
        <f t="shared" si="3"/>
        <v>0.7335799999999999</v>
      </c>
      <c r="D59" s="67">
        <f t="shared" si="2"/>
        <v>0.5868639999999999</v>
      </c>
      <c r="E59" s="59"/>
      <c r="F59" s="60"/>
    </row>
    <row r="60" spans="1:6" ht="12.75">
      <c r="A60" s="65">
        <v>2017</v>
      </c>
      <c r="B60" s="66">
        <v>87.05</v>
      </c>
      <c r="C60" s="67">
        <f t="shared" si="3"/>
        <v>0.74863</v>
      </c>
      <c r="D60" s="67">
        <f t="shared" si="2"/>
        <v>0.5989039999999999</v>
      </c>
      <c r="E60" s="59"/>
      <c r="F60" s="60"/>
    </row>
    <row r="61" spans="1:6" ht="12.75">
      <c r="A61" s="65">
        <v>2018</v>
      </c>
      <c r="B61" s="66">
        <v>88.67</v>
      </c>
      <c r="C61" s="67">
        <f t="shared" si="3"/>
        <v>0.7625620000000001</v>
      </c>
      <c r="D61" s="67">
        <f t="shared" si="2"/>
        <v>0.6100496</v>
      </c>
      <c r="E61" s="59"/>
      <c r="F61" s="60"/>
    </row>
    <row r="62" spans="1:6" ht="12.75">
      <c r="A62" s="65">
        <v>2019</v>
      </c>
      <c r="B62" s="66">
        <v>90.12</v>
      </c>
      <c r="C62" s="67">
        <f t="shared" si="3"/>
        <v>0.775032</v>
      </c>
      <c r="D62" s="67">
        <f t="shared" si="2"/>
        <v>0.6200256</v>
      </c>
      <c r="E62" s="59"/>
      <c r="F62" s="60"/>
    </row>
    <row r="63" spans="1:6" ht="12.75">
      <c r="A63" s="65">
        <v>2020</v>
      </c>
      <c r="B63" s="66">
        <v>91.34</v>
      </c>
      <c r="C63" s="67">
        <f t="shared" si="3"/>
        <v>0.7855240000000001</v>
      </c>
      <c r="D63" s="67">
        <f t="shared" si="2"/>
        <v>0.6284192</v>
      </c>
      <c r="E63" s="59"/>
      <c r="F63" s="60"/>
    </row>
    <row r="64" spans="1:6" ht="13.5" thickBot="1">
      <c r="A64" s="65"/>
      <c r="B64" s="66">
        <v>100</v>
      </c>
      <c r="C64" s="67">
        <v>0.86</v>
      </c>
      <c r="D64" s="67">
        <v>0.688</v>
      </c>
      <c r="E64" s="63"/>
      <c r="F64" s="64"/>
    </row>
    <row r="65" spans="1:6" ht="12.75">
      <c r="A65" s="16"/>
      <c r="B65" s="21"/>
      <c r="C65" s="22"/>
      <c r="D65" s="22"/>
      <c r="E65" s="23"/>
      <c r="F65" s="23"/>
    </row>
    <row r="66" spans="1:6" ht="12.75">
      <c r="A66" s="16" t="s">
        <v>73</v>
      </c>
      <c r="B66" s="21"/>
      <c r="C66" s="22"/>
      <c r="D66" s="22"/>
      <c r="E66" s="23"/>
      <c r="F66" s="23"/>
    </row>
    <row r="67" ht="12.75">
      <c r="A67" t="s">
        <v>74</v>
      </c>
    </row>
    <row r="68" ht="12.75">
      <c r="A68" t="s">
        <v>75</v>
      </c>
    </row>
    <row r="70" ht="12.75">
      <c r="A70" t="s">
        <v>77</v>
      </c>
    </row>
    <row r="71" ht="12.75">
      <c r="A71" t="s">
        <v>78</v>
      </c>
    </row>
    <row r="73" spans="2:6" ht="12.75">
      <c r="B73" s="14">
        <f>0.57/1000*0.35*13500000000/365/2000*1.176</f>
        <v>4.3387150684931495</v>
      </c>
      <c r="C73" s="15" t="s">
        <v>79</v>
      </c>
      <c r="D73" s="14">
        <f>0.456/1000*0.2*13500000000/365/2000*1.176</f>
        <v>1.9834126027397259</v>
      </c>
      <c r="E73" s="15" t="s">
        <v>80</v>
      </c>
      <c r="F73" s="14">
        <f>+B73+D73</f>
        <v>6.322127671232876</v>
      </c>
    </row>
    <row r="75" ht="12.75">
      <c r="A75" t="s">
        <v>81</v>
      </c>
    </row>
    <row r="77" spans="4:6" ht="12.75">
      <c r="D77" s="13" t="s">
        <v>82</v>
      </c>
      <c r="E77" s="14">
        <f>+F73*0.42</f>
        <v>2.655293621917808</v>
      </c>
      <c r="F77" t="s">
        <v>83</v>
      </c>
    </row>
    <row r="78" ht="12.75">
      <c r="A78" t="s">
        <v>74</v>
      </c>
    </row>
  </sheetData>
  <mergeCells count="6">
    <mergeCell ref="A38:I38"/>
    <mergeCell ref="A18:I18"/>
    <mergeCell ref="A4:I4"/>
    <mergeCell ref="A6:I6"/>
    <mergeCell ref="A8:I8"/>
    <mergeCell ref="A16:I16"/>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54"/>
  <sheetViews>
    <sheetView workbookViewId="0" topLeftCell="A1">
      <selection activeCell="G15" sqref="G15"/>
    </sheetView>
  </sheetViews>
  <sheetFormatPr defaultColWidth="9.140625" defaultRowHeight="12.75"/>
  <cols>
    <col min="1" max="1" width="18.7109375" style="0" customWidth="1"/>
    <col min="3" max="3" width="14.8515625" style="0" customWidth="1"/>
    <col min="5" max="5" width="15.28125" style="0" customWidth="1"/>
    <col min="6" max="6" width="14.00390625" style="0" customWidth="1"/>
    <col min="7" max="7" width="9.00390625" style="0" customWidth="1"/>
  </cols>
  <sheetData>
    <row r="1" ht="15.75">
      <c r="A1" s="6" t="s">
        <v>17</v>
      </c>
    </row>
    <row r="2" ht="15.75">
      <c r="A2" s="6" t="s">
        <v>84</v>
      </c>
    </row>
    <row r="4" spans="1:9" ht="80.25" customHeight="1">
      <c r="A4" s="101" t="s">
        <v>85</v>
      </c>
      <c r="B4" s="101"/>
      <c r="C4" s="101"/>
      <c r="D4" s="101"/>
      <c r="E4" s="101"/>
      <c r="F4" s="101"/>
      <c r="G4" s="101"/>
      <c r="H4" s="26"/>
      <c r="I4" s="26"/>
    </row>
    <row r="6" spans="1:9" ht="54.75" customHeight="1">
      <c r="A6" s="101" t="s">
        <v>86</v>
      </c>
      <c r="B6" s="101"/>
      <c r="C6" s="101"/>
      <c r="D6" s="101"/>
      <c r="E6" s="101"/>
      <c r="F6" s="101"/>
      <c r="G6" s="101"/>
      <c r="H6" s="24"/>
      <c r="I6" s="24"/>
    </row>
    <row r="8" spans="1:9" ht="24" customHeight="1">
      <c r="A8" s="101" t="s">
        <v>87</v>
      </c>
      <c r="B8" s="101"/>
      <c r="C8" s="101"/>
      <c r="D8" s="101"/>
      <c r="E8" s="101"/>
      <c r="F8" s="101"/>
      <c r="G8" s="101"/>
      <c r="H8" s="24"/>
      <c r="I8" s="24"/>
    </row>
    <row r="10" spans="1:8" ht="38.25">
      <c r="A10" s="28" t="s">
        <v>88</v>
      </c>
      <c r="B10" s="28" t="s">
        <v>89</v>
      </c>
      <c r="C10" s="28" t="s">
        <v>91</v>
      </c>
      <c r="D10" s="28" t="s">
        <v>92</v>
      </c>
      <c r="E10" s="28" t="s">
        <v>94</v>
      </c>
      <c r="F10" s="28" t="s">
        <v>93</v>
      </c>
      <c r="G10" s="27"/>
      <c r="H10" s="27"/>
    </row>
    <row r="11" spans="1:6" ht="12.75">
      <c r="A11" s="95"/>
      <c r="B11" s="29">
        <v>54.637</v>
      </c>
      <c r="C11" s="30">
        <v>256</v>
      </c>
      <c r="D11" s="31">
        <v>0.0229</v>
      </c>
      <c r="E11" s="31">
        <f>+D11*0.25</f>
        <v>0.005725</v>
      </c>
      <c r="F11" s="29">
        <f>+E11/B11*1000</f>
        <v>0.10478247341545108</v>
      </c>
    </row>
    <row r="12" spans="1:6" ht="26.25" customHeight="1">
      <c r="A12" s="95"/>
      <c r="B12" s="29">
        <v>66.94</v>
      </c>
      <c r="C12" s="30">
        <v>122</v>
      </c>
      <c r="D12" s="31">
        <v>0.0134</v>
      </c>
      <c r="E12" s="31">
        <f>+D12*0.25</f>
        <v>0.00335</v>
      </c>
      <c r="F12" s="29">
        <f>+E12/B12*1000</f>
        <v>0.05004481625336123</v>
      </c>
    </row>
    <row r="13" spans="1:6" ht="12.75">
      <c r="A13" s="95"/>
      <c r="B13" s="29">
        <v>125.691</v>
      </c>
      <c r="C13" s="30">
        <v>65.2</v>
      </c>
      <c r="D13" s="31">
        <v>0.0134</v>
      </c>
      <c r="E13" s="31">
        <f>+D13*0.25</f>
        <v>0.00335</v>
      </c>
      <c r="F13" s="29">
        <f>+E13/B13*1000</f>
        <v>0.026652664073004432</v>
      </c>
    </row>
    <row r="14" spans="1:6" ht="12.75">
      <c r="A14" s="95"/>
      <c r="B14" s="29">
        <v>189.45</v>
      </c>
      <c r="C14" s="30">
        <v>100</v>
      </c>
      <c r="D14" s="31">
        <v>0.031</v>
      </c>
      <c r="E14" s="31">
        <f>+D14*0.25</f>
        <v>0.00775</v>
      </c>
      <c r="F14" s="29">
        <f>+E14/B14*1000</f>
        <v>0.04090789126418581</v>
      </c>
    </row>
    <row r="15" spans="1:6" ht="12.75">
      <c r="A15" s="95"/>
      <c r="B15" s="29">
        <v>87.019</v>
      </c>
      <c r="C15" s="30">
        <v>48.3</v>
      </c>
      <c r="D15" s="31">
        <v>0.0069</v>
      </c>
      <c r="E15" s="31">
        <f>+D15*0.25</f>
        <v>0.001725</v>
      </c>
      <c r="F15" s="29">
        <f>+E15/B15*1000</f>
        <v>0.019823256989852787</v>
      </c>
    </row>
    <row r="16" spans="1:6" ht="12.75">
      <c r="A16" s="32" t="s">
        <v>90</v>
      </c>
      <c r="B16" s="33">
        <f>AVERAGE(B11:B15)</f>
        <v>104.7474</v>
      </c>
      <c r="C16" s="34">
        <f>AVERAGE(C11:C15)</f>
        <v>118.3</v>
      </c>
      <c r="D16" s="31">
        <f>AVERAGE(D11:D15)</f>
        <v>0.01752</v>
      </c>
      <c r="E16" s="31">
        <f>AVERAGE(E11:E15)</f>
        <v>0.00438</v>
      </c>
      <c r="F16" s="29">
        <f>AVERAGE(F11:F15)</f>
        <v>0.04844222039917107</v>
      </c>
    </row>
    <row r="18" ht="12.75">
      <c r="A18" t="s">
        <v>97</v>
      </c>
    </row>
    <row r="20" spans="5:7" ht="39" customHeight="1">
      <c r="E20" s="37" t="s">
        <v>98</v>
      </c>
      <c r="F20" s="35">
        <f>0.048/1000*13500000000/365/2000</f>
        <v>0.8876712328767123</v>
      </c>
      <c r="G20" t="s">
        <v>83</v>
      </c>
    </row>
    <row r="22" spans="1:6" ht="12.75">
      <c r="A22" s="38" t="s">
        <v>99</v>
      </c>
      <c r="B22" s="38"/>
      <c r="C22" s="38"/>
      <c r="D22" s="38"/>
      <c r="E22" s="38"/>
      <c r="F22" s="38"/>
    </row>
    <row r="23" spans="1:6" ht="12.75">
      <c r="A23" s="38" t="s">
        <v>32</v>
      </c>
      <c r="B23" s="38"/>
      <c r="C23" s="38"/>
      <c r="D23" s="38"/>
      <c r="E23" s="38"/>
      <c r="F23" s="38"/>
    </row>
    <row r="24" spans="1:6" ht="12.75">
      <c r="A24" s="38"/>
      <c r="B24" s="38"/>
      <c r="C24" s="38"/>
      <c r="D24" s="38"/>
      <c r="E24" s="38"/>
      <c r="F24" s="38"/>
    </row>
    <row r="25" spans="1:6" ht="12.75">
      <c r="A25" s="38"/>
      <c r="B25" s="38"/>
      <c r="C25" s="39">
        <v>1997</v>
      </c>
      <c r="D25" s="39">
        <v>2000</v>
      </c>
      <c r="E25" s="39">
        <v>2005</v>
      </c>
      <c r="F25" s="39">
        <v>2010</v>
      </c>
    </row>
    <row r="26" spans="1:6" ht="12.75">
      <c r="A26" s="38"/>
      <c r="B26" s="38"/>
      <c r="C26" s="39">
        <v>1</v>
      </c>
      <c r="D26" s="39">
        <v>1.017</v>
      </c>
      <c r="E26" s="39">
        <v>1.094</v>
      </c>
      <c r="F26" s="39">
        <v>1.176</v>
      </c>
    </row>
    <row r="27" spans="1:6" ht="12.75">
      <c r="A27" s="38"/>
      <c r="B27" s="38"/>
      <c r="C27" s="38"/>
      <c r="D27" s="38"/>
      <c r="E27" s="38"/>
      <c r="F27" s="38"/>
    </row>
    <row r="28" spans="1:6" ht="12.75">
      <c r="A28" s="38" t="s">
        <v>100</v>
      </c>
      <c r="B28" s="38"/>
      <c r="C28" s="38"/>
      <c r="D28" s="38"/>
      <c r="E28" s="38"/>
      <c r="F28" s="38"/>
    </row>
    <row r="29" spans="1:6" ht="12.75">
      <c r="A29" s="38"/>
      <c r="B29" s="38"/>
      <c r="C29" s="38"/>
      <c r="D29" s="38"/>
      <c r="E29" s="38"/>
      <c r="F29" s="38"/>
    </row>
    <row r="30" spans="1:6" ht="12.75">
      <c r="A30" s="38"/>
      <c r="B30" s="38"/>
      <c r="C30" s="39">
        <v>1997</v>
      </c>
      <c r="D30" s="40">
        <v>2000</v>
      </c>
      <c r="E30" s="39">
        <v>2005</v>
      </c>
      <c r="F30" s="39">
        <v>2010</v>
      </c>
    </row>
    <row r="31" spans="1:6" ht="12.75">
      <c r="A31" s="38"/>
      <c r="B31" s="39" t="s">
        <v>34</v>
      </c>
      <c r="C31" s="36">
        <f>+F20</f>
        <v>0.8876712328767123</v>
      </c>
      <c r="D31" s="36">
        <f>+C31*D26</f>
        <v>0.9027616438356164</v>
      </c>
      <c r="E31" s="36">
        <f>+C31*E26</f>
        <v>0.9711123287671234</v>
      </c>
      <c r="F31" s="36">
        <f>+C31*F26</f>
        <v>1.0439013698630137</v>
      </c>
    </row>
    <row r="32" spans="1:6" ht="12.75">
      <c r="A32" s="38"/>
      <c r="B32" s="39" t="s">
        <v>35</v>
      </c>
      <c r="C32" s="36">
        <f>+C31*0.42</f>
        <v>0.37282191780821916</v>
      </c>
      <c r="D32" s="36">
        <f>+D31*0.42</f>
        <v>0.3791598904109589</v>
      </c>
      <c r="E32" s="36">
        <f>+E31*0.42</f>
        <v>0.4078671780821918</v>
      </c>
      <c r="F32" s="36">
        <f>+F31*0.42</f>
        <v>0.4384385753424658</v>
      </c>
    </row>
    <row r="33" spans="1:6" ht="12.75">
      <c r="A33" s="38"/>
      <c r="B33" s="41"/>
      <c r="C33" s="42"/>
      <c r="D33" s="42"/>
      <c r="E33" s="43"/>
      <c r="F33" s="43"/>
    </row>
    <row r="34" spans="1:6" ht="25.5">
      <c r="A34" s="44" t="s">
        <v>101</v>
      </c>
      <c r="B34" s="45"/>
      <c r="C34" s="46"/>
      <c r="D34" s="46"/>
      <c r="E34" s="47"/>
      <c r="F34" s="47"/>
    </row>
    <row r="35" spans="1:6" ht="12.75">
      <c r="A35" s="38"/>
      <c r="B35" s="41"/>
      <c r="C35" s="42"/>
      <c r="D35" s="42"/>
      <c r="E35" s="43"/>
      <c r="F35" s="43"/>
    </row>
    <row r="36" ht="12.75">
      <c r="A36" t="s">
        <v>102</v>
      </c>
    </row>
    <row r="38" spans="4:6" ht="12.75">
      <c r="D38" s="13" t="s">
        <v>96</v>
      </c>
      <c r="E38" s="35">
        <f>25/3785*6.24</f>
        <v>0.04121532364597094</v>
      </c>
      <c r="F38" t="s">
        <v>95</v>
      </c>
    </row>
    <row r="40" ht="12.75">
      <c r="A40" t="s">
        <v>103</v>
      </c>
    </row>
    <row r="42" spans="3:6" ht="12.75">
      <c r="C42" s="48"/>
      <c r="D42" s="48"/>
      <c r="F42" s="37" t="s">
        <v>104</v>
      </c>
    </row>
    <row r="44" spans="2:8" ht="12.75">
      <c r="B44" s="13" t="s">
        <v>74</v>
      </c>
      <c r="C44" s="14">
        <f>+(F16-E38)/1000*13500000000/365/2000*1.094</f>
        <v>0.1462110111616613</v>
      </c>
      <c r="D44" t="s">
        <v>105</v>
      </c>
      <c r="G44" s="38"/>
      <c r="H44" s="38"/>
    </row>
    <row r="45" spans="7:8" ht="12.75">
      <c r="G45" s="38"/>
      <c r="H45" s="38"/>
    </row>
    <row r="46" spans="2:8" ht="12.75">
      <c r="B46" s="13" t="s">
        <v>106</v>
      </c>
      <c r="C46" s="14">
        <f>+C44*0.42</f>
        <v>0.06140862468789774</v>
      </c>
      <c r="D46" t="s">
        <v>107</v>
      </c>
      <c r="G46" s="38"/>
      <c r="H46" s="38"/>
    </row>
    <row r="47" spans="7:8" ht="12.75">
      <c r="G47" s="38"/>
      <c r="H47" s="38"/>
    </row>
    <row r="48" spans="1:8" ht="12.75">
      <c r="A48" t="s">
        <v>108</v>
      </c>
      <c r="G48" s="38"/>
      <c r="H48" s="38"/>
    </row>
    <row r="49" spans="7:8" ht="12.75">
      <c r="G49" s="38"/>
      <c r="H49" s="38"/>
    </row>
    <row r="50" spans="3:8" ht="12.75">
      <c r="C50" s="48"/>
      <c r="D50" s="48"/>
      <c r="F50" s="37" t="s">
        <v>109</v>
      </c>
      <c r="G50" s="38"/>
      <c r="H50" s="38"/>
    </row>
    <row r="51" spans="7:8" ht="12.75">
      <c r="G51" s="38"/>
      <c r="H51" s="38"/>
    </row>
    <row r="52" spans="2:8" ht="12.75">
      <c r="B52" s="13" t="s">
        <v>74</v>
      </c>
      <c r="C52" s="14">
        <f>+C44*(1.176/1.094)</f>
        <v>0.1571701545942538</v>
      </c>
      <c r="D52" t="s">
        <v>105</v>
      </c>
      <c r="G52" s="38"/>
      <c r="H52" s="38"/>
    </row>
    <row r="53" spans="7:8" ht="12.75">
      <c r="G53" s="38"/>
      <c r="H53" s="38"/>
    </row>
    <row r="54" spans="2:8" ht="12.75">
      <c r="B54" s="13" t="s">
        <v>106</v>
      </c>
      <c r="C54" s="14">
        <f>+C52*0.42</f>
        <v>0.0660114649295866</v>
      </c>
      <c r="D54" t="s">
        <v>107</v>
      </c>
      <c r="G54" s="38"/>
      <c r="H54" s="38"/>
    </row>
  </sheetData>
  <mergeCells count="3">
    <mergeCell ref="A4:G4"/>
    <mergeCell ref="A6:G6"/>
    <mergeCell ref="A8:G8"/>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26"/>
  <sheetViews>
    <sheetView workbookViewId="0" topLeftCell="A1">
      <selection activeCell="C26" sqref="C26"/>
    </sheetView>
  </sheetViews>
  <sheetFormatPr defaultColWidth="9.140625" defaultRowHeight="12.75"/>
  <sheetData>
    <row r="1" ht="15.75">
      <c r="A1" s="6" t="s">
        <v>17</v>
      </c>
    </row>
    <row r="2" ht="15.75">
      <c r="A2" s="6" t="s">
        <v>110</v>
      </c>
    </row>
    <row r="4" spans="1:9" ht="37.5" customHeight="1">
      <c r="A4" s="101" t="s">
        <v>111</v>
      </c>
      <c r="B4" s="101"/>
      <c r="C4" s="101"/>
      <c r="D4" s="101"/>
      <c r="E4" s="101"/>
      <c r="F4" s="101"/>
      <c r="G4" s="101"/>
      <c r="H4" s="101"/>
      <c r="I4" s="101"/>
    </row>
    <row r="6" ht="12.75">
      <c r="A6" t="s">
        <v>112</v>
      </c>
    </row>
    <row r="8" ht="12.75">
      <c r="A8" t="s">
        <v>129</v>
      </c>
    </row>
    <row r="10" spans="3:4" ht="12.75">
      <c r="C10" s="14">
        <f>+(0.42-0.24)/1000*13500000000/365/2000</f>
        <v>3.3287671232876717</v>
      </c>
      <c r="D10" t="s">
        <v>105</v>
      </c>
    </row>
    <row r="12" ht="12.75">
      <c r="A12" t="s">
        <v>113</v>
      </c>
    </row>
    <row r="14" spans="3:5" ht="12.75">
      <c r="C14" s="13" t="s">
        <v>114</v>
      </c>
      <c r="D14" s="14">
        <f>+C10*0.42</f>
        <v>1.398082191780822</v>
      </c>
      <c r="E14" t="s">
        <v>38</v>
      </c>
    </row>
    <row r="16" spans="1:6" ht="12.75">
      <c r="A16" s="38" t="s">
        <v>115</v>
      </c>
      <c r="B16" s="38"/>
      <c r="C16" s="38"/>
      <c r="D16" s="38"/>
      <c r="E16" s="38"/>
      <c r="F16" s="38"/>
    </row>
    <row r="17" spans="1:6" ht="12.75">
      <c r="A17" s="38" t="s">
        <v>32</v>
      </c>
      <c r="B17" s="38"/>
      <c r="C17" s="38"/>
      <c r="D17" s="38"/>
      <c r="E17" s="38"/>
      <c r="F17" s="38"/>
    </row>
    <row r="18" spans="1:6" ht="12.75">
      <c r="A18" s="38"/>
      <c r="B18" s="38"/>
      <c r="C18" s="38"/>
      <c r="D18" s="38"/>
      <c r="E18" s="38"/>
      <c r="F18" s="38"/>
    </row>
    <row r="19" spans="1:6" ht="12.75">
      <c r="A19" s="38"/>
      <c r="B19" s="38"/>
      <c r="C19" s="39">
        <v>1997</v>
      </c>
      <c r="D19" s="39">
        <v>2000</v>
      </c>
      <c r="E19" s="39">
        <v>2005</v>
      </c>
      <c r="F19" s="39">
        <v>2010</v>
      </c>
    </row>
    <row r="20" spans="1:6" ht="12.75">
      <c r="A20" s="38"/>
      <c r="B20" s="38"/>
      <c r="C20" s="39">
        <v>1</v>
      </c>
      <c r="D20" s="39">
        <v>1.017</v>
      </c>
      <c r="E20" s="39">
        <v>1.094</v>
      </c>
      <c r="F20" s="39">
        <v>1.176</v>
      </c>
    </row>
    <row r="21" spans="1:6" ht="12.75">
      <c r="A21" s="38"/>
      <c r="B21" s="38"/>
      <c r="C21" s="38"/>
      <c r="D21" s="38"/>
      <c r="E21" s="38"/>
      <c r="F21" s="38"/>
    </row>
    <row r="22" spans="1:6" ht="12.75">
      <c r="A22" s="38" t="s">
        <v>116</v>
      </c>
      <c r="B22" s="38"/>
      <c r="C22" s="38"/>
      <c r="D22" s="38"/>
      <c r="E22" s="38"/>
      <c r="F22" s="38"/>
    </row>
    <row r="23" spans="1:6" ht="12.75">
      <c r="A23" s="38"/>
      <c r="B23" s="38"/>
      <c r="C23" s="38"/>
      <c r="D23" s="38"/>
      <c r="E23" s="38"/>
      <c r="F23" s="38"/>
    </row>
    <row r="24" spans="1:6" ht="12.75">
      <c r="A24" s="38"/>
      <c r="B24" s="38"/>
      <c r="C24" s="39">
        <v>1997</v>
      </c>
      <c r="D24" s="40">
        <v>2000</v>
      </c>
      <c r="E24" s="39">
        <v>2005</v>
      </c>
      <c r="F24" s="39">
        <v>2010</v>
      </c>
    </row>
    <row r="25" spans="1:6" ht="12.75">
      <c r="A25" s="38"/>
      <c r="B25" s="39" t="s">
        <v>34</v>
      </c>
      <c r="C25" s="50">
        <f>+$C$10</f>
        <v>3.3287671232876717</v>
      </c>
      <c r="D25" s="36">
        <f>+C25*D20</f>
        <v>3.3853561643835617</v>
      </c>
      <c r="E25" s="36">
        <f>+C25*E20</f>
        <v>3.641671232876713</v>
      </c>
      <c r="F25" s="36">
        <f>+C25*F20</f>
        <v>3.9146301369863017</v>
      </c>
    </row>
    <row r="26" spans="1:6" ht="12.75">
      <c r="A26" s="38"/>
      <c r="B26" s="39" t="s">
        <v>35</v>
      </c>
      <c r="C26" s="36">
        <f>+C25*0.42</f>
        <v>1.398082191780822</v>
      </c>
      <c r="D26" s="36">
        <f>+D25*0.42</f>
        <v>1.4218495890410958</v>
      </c>
      <c r="E26" s="36">
        <f>+E25*0.42</f>
        <v>1.5295019178082194</v>
      </c>
      <c r="F26" s="36">
        <f>+F25*0.42</f>
        <v>1.6441446575342467</v>
      </c>
    </row>
  </sheetData>
  <mergeCells count="1">
    <mergeCell ref="A4:I4"/>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I27"/>
  <sheetViews>
    <sheetView workbookViewId="0" topLeftCell="A21">
      <selection activeCell="E27" sqref="E27"/>
    </sheetView>
  </sheetViews>
  <sheetFormatPr defaultColWidth="9.140625" defaultRowHeight="12.75"/>
  <sheetData>
    <row r="1" ht="15.75">
      <c r="A1" s="6" t="s">
        <v>17</v>
      </c>
    </row>
    <row r="2" ht="15.75">
      <c r="A2" s="6" t="s">
        <v>117</v>
      </c>
    </row>
    <row r="4" spans="1:9" ht="42.75" customHeight="1">
      <c r="A4" s="101" t="s">
        <v>118</v>
      </c>
      <c r="B4" s="101"/>
      <c r="C4" s="101"/>
      <c r="D4" s="101"/>
      <c r="E4" s="101"/>
      <c r="F4" s="101"/>
      <c r="G4" s="101"/>
      <c r="H4" s="101"/>
      <c r="I4" s="101"/>
    </row>
    <row r="6" spans="1:9" ht="65.25" customHeight="1">
      <c r="A6" s="101" t="s">
        <v>124</v>
      </c>
      <c r="B6" s="101"/>
      <c r="C6" s="101"/>
      <c r="D6" s="101"/>
      <c r="E6" s="101"/>
      <c r="F6" s="101"/>
      <c r="G6" s="101"/>
      <c r="H6" s="101"/>
      <c r="I6" s="101"/>
    </row>
    <row r="8" spans="1:9" ht="30.75" customHeight="1">
      <c r="A8" s="101" t="s">
        <v>119</v>
      </c>
      <c r="B8" s="101"/>
      <c r="C8" s="101"/>
      <c r="D8" s="101"/>
      <c r="E8" s="101"/>
      <c r="F8" s="101"/>
      <c r="G8" s="101"/>
      <c r="H8" s="101"/>
      <c r="I8" s="101"/>
    </row>
    <row r="9" spans="1:9" ht="52.5" customHeight="1">
      <c r="A9" s="101" t="s">
        <v>125</v>
      </c>
      <c r="B9" s="101"/>
      <c r="C9" s="101"/>
      <c r="D9" s="101"/>
      <c r="E9" s="101"/>
      <c r="F9" s="101"/>
      <c r="G9" s="101"/>
      <c r="H9" s="101"/>
      <c r="I9" s="101"/>
    </row>
    <row r="10" spans="1:9" ht="12.75">
      <c r="A10" s="49"/>
      <c r="B10" s="49"/>
      <c r="C10" s="49"/>
      <c r="D10" s="49"/>
      <c r="E10" s="49"/>
      <c r="F10" s="49"/>
      <c r="G10" s="49"/>
      <c r="H10" s="49"/>
      <c r="I10" s="49"/>
    </row>
    <row r="11" spans="1:9" ht="12.75">
      <c r="A11" s="51" t="s">
        <v>120</v>
      </c>
      <c r="B11" s="49"/>
      <c r="C11" s="49"/>
      <c r="D11" s="49"/>
      <c r="E11" s="49"/>
      <c r="F11" s="49"/>
      <c r="G11" s="49"/>
      <c r="H11" s="49"/>
      <c r="I11" s="49"/>
    </row>
    <row r="13" spans="5:7" ht="12.75">
      <c r="E13" s="13" t="s">
        <v>121</v>
      </c>
      <c r="F13" s="14">
        <f>6.6*(7.6/8.4)*(1.35/1.43)</f>
        <v>5.637362637362638</v>
      </c>
      <c r="G13" t="s">
        <v>36</v>
      </c>
    </row>
    <row r="15" spans="5:7" ht="12.75">
      <c r="E15" s="13" t="s">
        <v>122</v>
      </c>
      <c r="F15" s="14">
        <f>+F13*0.42</f>
        <v>2.367692307692308</v>
      </c>
      <c r="G15" t="s">
        <v>123</v>
      </c>
    </row>
    <row r="17" spans="1:6" ht="12.75">
      <c r="A17" s="38" t="s">
        <v>115</v>
      </c>
      <c r="B17" s="38"/>
      <c r="C17" s="38"/>
      <c r="D17" s="38"/>
      <c r="E17" s="38"/>
      <c r="F17" s="38"/>
    </row>
    <row r="18" spans="1:6" ht="12.75">
      <c r="A18" s="38" t="s">
        <v>32</v>
      </c>
      <c r="B18" s="38"/>
      <c r="C18" s="38"/>
      <c r="D18" s="38"/>
      <c r="E18" s="38"/>
      <c r="F18" s="38"/>
    </row>
    <row r="19" spans="1:6" ht="12.75">
      <c r="A19" s="38"/>
      <c r="B19" s="38"/>
      <c r="C19" s="38"/>
      <c r="D19" s="38"/>
      <c r="E19" s="38"/>
      <c r="F19" s="38"/>
    </row>
    <row r="20" spans="1:6" ht="12.75">
      <c r="A20" s="38"/>
      <c r="B20" s="38"/>
      <c r="C20" s="39">
        <v>1997</v>
      </c>
      <c r="D20" s="39">
        <v>2000</v>
      </c>
      <c r="E20" s="39">
        <v>2005</v>
      </c>
      <c r="F20" s="39">
        <v>2010</v>
      </c>
    </row>
    <row r="21" spans="1:6" ht="12.75">
      <c r="A21" s="38"/>
      <c r="B21" s="38"/>
      <c r="C21" s="39">
        <v>1</v>
      </c>
      <c r="D21" s="39">
        <v>1.017</v>
      </c>
      <c r="E21" s="39">
        <v>1.094</v>
      </c>
      <c r="F21" s="39">
        <v>1.176</v>
      </c>
    </row>
    <row r="22" spans="1:6" ht="12.75">
      <c r="A22" s="38"/>
      <c r="B22" s="38"/>
      <c r="C22" s="38"/>
      <c r="D22" s="38"/>
      <c r="E22" s="38"/>
      <c r="F22" s="38"/>
    </row>
    <row r="23" spans="1:6" ht="12.75">
      <c r="A23" s="38" t="s">
        <v>116</v>
      </c>
      <c r="B23" s="38"/>
      <c r="C23" s="38"/>
      <c r="D23" s="38"/>
      <c r="E23" s="38"/>
      <c r="F23" s="38"/>
    </row>
    <row r="24" spans="1:6" ht="12.75">
      <c r="A24" s="38"/>
      <c r="B24" s="38"/>
      <c r="C24" s="38"/>
      <c r="D24" s="38"/>
      <c r="E24" s="38"/>
      <c r="F24" s="38"/>
    </row>
    <row r="25" spans="1:6" ht="12.75">
      <c r="A25" s="38"/>
      <c r="B25" s="38"/>
      <c r="C25" s="39">
        <v>1997</v>
      </c>
      <c r="D25" s="40">
        <v>2000</v>
      </c>
      <c r="E25" s="39">
        <v>2005</v>
      </c>
      <c r="F25" s="39">
        <v>2010</v>
      </c>
    </row>
    <row r="26" spans="1:6" ht="12.75">
      <c r="A26" s="38"/>
      <c r="B26" s="39" t="s">
        <v>34</v>
      </c>
      <c r="C26" s="50">
        <f>+F13</f>
        <v>5.637362637362638</v>
      </c>
      <c r="D26" s="36">
        <f>+C26*D21</f>
        <v>5.733197802197802</v>
      </c>
      <c r="E26" s="36">
        <f>+C26*E21</f>
        <v>6.167274725274726</v>
      </c>
      <c r="F26" s="36">
        <f>+C26*F21</f>
        <v>6.629538461538462</v>
      </c>
    </row>
    <row r="27" spans="1:6" ht="12.75">
      <c r="A27" s="38"/>
      <c r="B27" s="39" t="s">
        <v>35</v>
      </c>
      <c r="C27" s="36">
        <f>+C26*0.42</f>
        <v>2.367692307692308</v>
      </c>
      <c r="D27" s="36">
        <f>+D26*0.42</f>
        <v>2.4079430769230767</v>
      </c>
      <c r="E27" s="36">
        <f>+E26*0.42</f>
        <v>2.590255384615385</v>
      </c>
      <c r="F27" s="36">
        <f>+F26*0.42</f>
        <v>2.7844061538461538</v>
      </c>
    </row>
  </sheetData>
  <mergeCells count="4">
    <mergeCell ref="A9:I9"/>
    <mergeCell ref="A4:I4"/>
    <mergeCell ref="A6:I6"/>
    <mergeCell ref="A8:I8"/>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2:J25"/>
  <sheetViews>
    <sheetView workbookViewId="0" topLeftCell="A1">
      <selection activeCell="B23" sqref="B23"/>
    </sheetView>
  </sheetViews>
  <sheetFormatPr defaultColWidth="9.140625" defaultRowHeight="12.75"/>
  <cols>
    <col min="1" max="1" width="3.421875" style="1" customWidth="1"/>
    <col min="2" max="3" width="9.140625" style="1" customWidth="1"/>
    <col min="4" max="4" width="11.140625" style="1" bestFit="1" customWidth="1"/>
    <col min="5" max="6" width="9.140625" style="1" customWidth="1"/>
    <col min="7" max="7" width="10.57421875" style="1" bestFit="1" customWidth="1"/>
    <col min="8" max="8" width="10.421875" style="1" customWidth="1"/>
    <col min="9" max="9" width="9.140625" style="1" customWidth="1"/>
    <col min="10" max="10" width="11.140625" style="1" bestFit="1" customWidth="1"/>
    <col min="11" max="16384" width="9.140625" style="1" customWidth="1"/>
  </cols>
  <sheetData>
    <row r="2" ht="18">
      <c r="B2" s="7" t="s">
        <v>3</v>
      </c>
    </row>
    <row r="5" spans="1:8" ht="15">
      <c r="A5" s="1">
        <v>1</v>
      </c>
      <c r="B5" s="1" t="s">
        <v>4</v>
      </c>
      <c r="G5" s="1">
        <v>7.6</v>
      </c>
      <c r="H5" s="1" t="s">
        <v>5</v>
      </c>
    </row>
    <row r="6" ht="15">
      <c r="C6" s="1" t="s">
        <v>6</v>
      </c>
    </row>
    <row r="8" spans="1:10" ht="15.75">
      <c r="A8" s="1">
        <v>2</v>
      </c>
      <c r="B8" s="1" t="s">
        <v>11</v>
      </c>
      <c r="H8"/>
      <c r="I8" s="2" t="s">
        <v>7</v>
      </c>
      <c r="J8" s="5">
        <v>13481725000</v>
      </c>
    </row>
    <row r="9" spans="2:10" ht="15.75">
      <c r="B9" s="1" t="s">
        <v>12</v>
      </c>
      <c r="H9"/>
      <c r="I9" s="2" t="s">
        <v>7</v>
      </c>
      <c r="J9" s="5">
        <v>5671731372</v>
      </c>
    </row>
    <row r="10" spans="3:10" ht="15">
      <c r="C10" s="1" t="s">
        <v>16</v>
      </c>
      <c r="H10" s="4"/>
      <c r="J10" s="5"/>
    </row>
    <row r="12" ht="15">
      <c r="C12" s="1" t="s">
        <v>9</v>
      </c>
    </row>
    <row r="13" spans="6:7" ht="15">
      <c r="F13" s="10" t="s">
        <v>8</v>
      </c>
      <c r="G13" s="3">
        <f>+J9/J8</f>
        <v>0.42069774987993</v>
      </c>
    </row>
    <row r="14" ht="15">
      <c r="D14" s="5"/>
    </row>
    <row r="15" spans="1:9" ht="15">
      <c r="A15" s="1">
        <v>3</v>
      </c>
      <c r="B15" s="1" t="s">
        <v>10</v>
      </c>
      <c r="F15" s="8">
        <v>1997</v>
      </c>
      <c r="G15" s="8">
        <v>2000</v>
      </c>
      <c r="H15" s="8">
        <v>2005</v>
      </c>
      <c r="I15" s="8">
        <v>2010</v>
      </c>
    </row>
    <row r="16" spans="6:9" ht="15">
      <c r="F16" s="8">
        <v>1</v>
      </c>
      <c r="G16" s="8">
        <v>1.017</v>
      </c>
      <c r="H16" s="8">
        <v>1.094</v>
      </c>
      <c r="I16" s="8">
        <v>1.176</v>
      </c>
    </row>
    <row r="17" ht="15">
      <c r="C17" s="1" t="s">
        <v>13</v>
      </c>
    </row>
    <row r="18" ht="15">
      <c r="C18" s="1" t="s">
        <v>14</v>
      </c>
    </row>
    <row r="19" ht="15">
      <c r="C19" s="1" t="s">
        <v>15</v>
      </c>
    </row>
    <row r="21" spans="1:2" ht="15">
      <c r="A21" s="12">
        <v>4</v>
      </c>
      <c r="B21" s="12" t="s">
        <v>48</v>
      </c>
    </row>
    <row r="22" spans="1:2" ht="15">
      <c r="A22" s="12"/>
      <c r="B22" s="12" t="s">
        <v>49</v>
      </c>
    </row>
    <row r="23" spans="1:2" ht="15">
      <c r="A23" s="12"/>
      <c r="B23" s="12" t="s">
        <v>50</v>
      </c>
    </row>
    <row r="24" spans="1:2" ht="15">
      <c r="A24" s="12"/>
      <c r="B24" s="12"/>
    </row>
    <row r="25" spans="1:2" ht="15">
      <c r="A25" s="12">
        <v>5</v>
      </c>
      <c r="B25" s="12" t="s">
        <v>42</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 Resources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cp:lastModifiedBy>
  <cp:lastPrinted>2000-01-25T19:11:59Z</cp:lastPrinted>
  <dcterms:created xsi:type="dcterms:W3CDTF">2000-01-04T19:12:07Z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