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C:\website temp\"/>
    </mc:Choice>
  </mc:AlternateContent>
  <workbookProtection workbookAlgorithmName="SHA-512" workbookHashValue="ImxOmjU+XIJxHzA/fANnstGDC1zSTCA5v1vFSI4Eau8M+FGdc3sZOcDkOZ+Hlxem3ASnayV6GZ2zJCylZs0k/w==" workbookSaltValue="rKyabe1cnyyr30/XXeXVgg==" workbookSpinCount="100000" lockStructure="1"/>
  <bookViews>
    <workbookView xWindow="0" yWindow="0" windowWidth="15360" windowHeight="7020" tabRatio="881"/>
  </bookViews>
  <sheets>
    <sheet name="Cover" sheetId="31" r:id="rId1"/>
    <sheet name="Contents" sheetId="1" r:id="rId2"/>
    <sheet name="Relative Costs" sheetId="30" r:id="rId3"/>
    <sheet name="Summary" sheetId="2" r:id="rId4"/>
    <sheet name="Cost Inputs" sheetId="3" r:id="rId5"/>
    <sheet name="Electricity &amp; Fuel" sheetId="4" r:id="rId6"/>
    <sheet name="Growth" sheetId="5" r:id="rId7"/>
    <sheet name="Apportion" sheetId="17" r:id="rId8"/>
    <sheet name="Berths, Terminals, Vessels" sheetId="6" r:id="rId9"/>
    <sheet name="Exceptions &amp; Events" sheetId="18" r:id="rId10"/>
    <sheet name="Vessel Visits" sheetId="27" r:id="rId11"/>
    <sheet name="C&amp;C-Container &amp; Ro-Ro" sheetId="8" r:id="rId12"/>
    <sheet name="C&amp;C-Tankers" sheetId="34" r:id="rId13"/>
    <sheet name="SP Berth Retrofit" sheetId="9" r:id="rId14"/>
    <sheet name="SP Vessel Retrofit" sheetId="10" r:id="rId15"/>
    <sheet name="SP Labor &amp; Energy" sheetId="11" r:id="rId16"/>
    <sheet name="Admin" sheetId="12" r:id="rId17"/>
    <sheet name="Remediation" sheetId="29" r:id="rId18"/>
    <sheet name="POLB Analysis" sheetId="37" r:id="rId19"/>
    <sheet name="Hueneme Analysis" sheetId="39" r:id="rId20"/>
  </sheets>
  <definedNames>
    <definedName name="_xlnm.Print_Area" localSheetId="1">Contents!$A$1:$C$23</definedName>
    <definedName name="_xlnm.Print_Area" localSheetId="0">Cover!$A$1:$P$30</definedName>
    <definedName name="_xlnm.Print_Area" localSheetId="2">'Relative Costs'!$A$1:$P$29</definedName>
    <definedName name="_xlnm.Print_Area" localSheetId="3">Summary!#REF!</definedName>
    <definedName name="_xlnm.Print_Titles" localSheetId="10">'Vessel Visits'!$A:$A</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57" i="2" l="1"/>
  <c r="I58" i="2"/>
  <c r="I59" i="2"/>
  <c r="I60" i="2"/>
  <c r="I61" i="2"/>
  <c r="I80" i="2" s="1"/>
  <c r="I62" i="2"/>
  <c r="I67" i="2"/>
  <c r="I68" i="2"/>
  <c r="I69" i="2"/>
  <c r="I70" i="2"/>
  <c r="I72" i="2" s="1"/>
  <c r="I71" i="2"/>
  <c r="I81" i="2" s="1"/>
  <c r="I76" i="2"/>
  <c r="I77" i="2"/>
  <c r="I78" i="2"/>
  <c r="I79" i="2"/>
  <c r="I63" i="2" l="1"/>
  <c r="I65" i="2" s="1"/>
  <c r="I82" i="2"/>
  <c r="I37" i="8"/>
  <c r="G37" i="8"/>
  <c r="D108" i="12" l="1"/>
  <c r="D105" i="34" l="1"/>
  <c r="D97" i="34"/>
  <c r="E94" i="8"/>
  <c r="F94" i="8"/>
  <c r="G94" i="8"/>
  <c r="H94" i="8"/>
  <c r="D94" i="8"/>
  <c r="D84" i="8" l="1"/>
  <c r="D139" i="9" l="1"/>
  <c r="C7" i="30" l="1"/>
  <c r="D7" i="30"/>
  <c r="E7" i="30"/>
  <c r="F7" i="30"/>
  <c r="B7" i="30"/>
  <c r="C8" i="30"/>
  <c r="D8" i="30"/>
  <c r="E8" i="30"/>
  <c r="F8" i="30"/>
  <c r="B8" i="30"/>
  <c r="C6" i="30"/>
  <c r="D6" i="30"/>
  <c r="E6" i="30"/>
  <c r="E34" i="12"/>
  <c r="F34" i="12"/>
  <c r="G34" i="12"/>
  <c r="H34" i="12"/>
  <c r="I34" i="12"/>
  <c r="J34" i="12"/>
  <c r="B161" i="3"/>
  <c r="F35" i="12" s="1"/>
  <c r="I35" i="12" l="1"/>
  <c r="H35" i="12"/>
  <c r="E35" i="12"/>
  <c r="L35" i="12"/>
  <c r="K35" i="12"/>
  <c r="G35" i="12"/>
  <c r="J35" i="12"/>
  <c r="P32" i="37" l="1"/>
  <c r="P33" i="37"/>
  <c r="P34" i="37"/>
  <c r="D35" i="37"/>
  <c r="E35" i="37"/>
  <c r="F35" i="37"/>
  <c r="G35" i="37"/>
  <c r="H35" i="37"/>
  <c r="I35" i="37"/>
  <c r="C35" i="37"/>
  <c r="H39" i="34"/>
  <c r="G39" i="34"/>
  <c r="F46" i="12"/>
  <c r="G46" i="12"/>
  <c r="H46" i="12"/>
  <c r="I46" i="12"/>
  <c r="J46" i="12"/>
  <c r="K46" i="12"/>
  <c r="L46" i="12"/>
  <c r="M46" i="12"/>
  <c r="N46" i="12"/>
  <c r="O46" i="12"/>
  <c r="P46" i="12"/>
  <c r="E46" i="12"/>
  <c r="E45" i="12"/>
  <c r="D45" i="12"/>
  <c r="M42" i="12"/>
  <c r="N42" i="12"/>
  <c r="O42" i="12"/>
  <c r="P42" i="12"/>
  <c r="L42" i="12"/>
  <c r="G42" i="12"/>
  <c r="H42" i="12"/>
  <c r="I42" i="12"/>
  <c r="J42" i="12"/>
  <c r="K42" i="12"/>
  <c r="F42" i="12"/>
  <c r="E41" i="12"/>
  <c r="D179" i="3"/>
  <c r="E179" i="3" s="1"/>
  <c r="D178" i="3"/>
  <c r="E178" i="3" s="1"/>
  <c r="D62" i="2"/>
  <c r="F55" i="12"/>
  <c r="G55" i="12"/>
  <c r="H55" i="12"/>
  <c r="I55" i="12"/>
  <c r="J55" i="12"/>
  <c r="K55" i="12"/>
  <c r="L55" i="12"/>
  <c r="M55" i="12"/>
  <c r="N55" i="12"/>
  <c r="O55" i="12"/>
  <c r="P55" i="12"/>
  <c r="E55" i="12"/>
  <c r="D164" i="3"/>
  <c r="B169" i="3"/>
  <c r="B170" i="3"/>
  <c r="D71" i="2" l="1"/>
  <c r="E56" i="12"/>
  <c r="F56" i="12"/>
  <c r="M56" i="12"/>
  <c r="I56" i="12"/>
  <c r="L56" i="12"/>
  <c r="H56" i="12"/>
  <c r="O56" i="12"/>
  <c r="K56" i="12"/>
  <c r="G56" i="12"/>
  <c r="P56" i="12"/>
  <c r="N56" i="12"/>
  <c r="J56" i="12"/>
  <c r="D81" i="2"/>
  <c r="D126" i="9"/>
  <c r="B6" i="30" l="1"/>
  <c r="E84" i="8"/>
  <c r="F84" i="8"/>
  <c r="G84" i="8"/>
  <c r="H84" i="8"/>
  <c r="C19" i="8"/>
  <c r="B19" i="8"/>
  <c r="C18" i="8"/>
  <c r="B18" i="8"/>
  <c r="C16" i="8"/>
  <c r="B16" i="8"/>
  <c r="C15" i="8"/>
  <c r="B15" i="8"/>
  <c r="C14" i="8"/>
  <c r="B14" i="8"/>
  <c r="C12" i="8"/>
  <c r="B12" i="8"/>
  <c r="C11" i="8"/>
  <c r="B11" i="8"/>
  <c r="D50" i="11"/>
  <c r="E50" i="11"/>
  <c r="D51" i="11"/>
  <c r="E51" i="11"/>
  <c r="D52" i="11"/>
  <c r="E52" i="11"/>
  <c r="D53" i="11"/>
  <c r="E53" i="11"/>
  <c r="D54" i="11"/>
  <c r="E54" i="11"/>
  <c r="D55" i="11"/>
  <c r="E55" i="11"/>
  <c r="D56" i="11"/>
  <c r="E56" i="11"/>
  <c r="D57" i="11"/>
  <c r="E57" i="11"/>
  <c r="D58" i="11"/>
  <c r="E58" i="11"/>
  <c r="E49" i="11"/>
  <c r="D49" i="11"/>
  <c r="H67" i="11" l="1"/>
  <c r="H68" i="11"/>
  <c r="B50" i="11"/>
  <c r="C50" i="11"/>
  <c r="B51" i="11"/>
  <c r="C51" i="11"/>
  <c r="B52" i="11"/>
  <c r="C52" i="11"/>
  <c r="B53" i="11"/>
  <c r="C53" i="11"/>
  <c r="B54" i="11"/>
  <c r="C54" i="11"/>
  <c r="C49" i="11"/>
  <c r="B49" i="11"/>
  <c r="N16" i="12" l="1"/>
  <c r="K41" i="12"/>
  <c r="D175" i="3"/>
  <c r="E176" i="3"/>
  <c r="N17" i="12" s="1"/>
  <c r="D15" i="9" l="1"/>
  <c r="B15" i="9"/>
  <c r="N139" i="9" l="1"/>
  <c r="O139" i="9"/>
  <c r="P139" i="9"/>
  <c r="Q139" i="9"/>
  <c r="D146" i="9"/>
  <c r="K8" i="9"/>
  <c r="J8" i="9"/>
  <c r="E27" i="12"/>
  <c r="D27" i="12"/>
  <c r="E26" i="12"/>
  <c r="D26" i="12"/>
  <c r="E25" i="12"/>
  <c r="D25" i="12"/>
  <c r="E24" i="12"/>
  <c r="D24" i="12"/>
  <c r="E22" i="12"/>
  <c r="E23" i="12"/>
  <c r="D23" i="12"/>
  <c r="D22" i="12"/>
  <c r="C20" i="39" l="1"/>
  <c r="C19" i="39"/>
  <c r="O29" i="39"/>
  <c r="N29" i="39"/>
  <c r="M29" i="39"/>
  <c r="L29" i="39"/>
  <c r="K29" i="39"/>
  <c r="J29" i="39"/>
  <c r="I29" i="39"/>
  <c r="G29" i="39"/>
  <c r="E29" i="39"/>
  <c r="D29" i="39"/>
  <c r="P28" i="39"/>
  <c r="P27" i="39"/>
  <c r="P26" i="39"/>
  <c r="O14" i="39"/>
  <c r="N14" i="39"/>
  <c r="M14" i="39"/>
  <c r="L14" i="39"/>
  <c r="K14" i="39"/>
  <c r="J14" i="39"/>
  <c r="I14" i="39"/>
  <c r="H14" i="39"/>
  <c r="G14" i="39"/>
  <c r="F14" i="39"/>
  <c r="E14" i="39"/>
  <c r="E5" i="39" s="1"/>
  <c r="D14" i="39"/>
  <c r="D5" i="39" s="1"/>
  <c r="C14" i="39"/>
  <c r="P13" i="39"/>
  <c r="P12" i="39"/>
  <c r="P11" i="39"/>
  <c r="C21" i="39"/>
  <c r="F25" i="39" s="1"/>
  <c r="E30" i="12"/>
  <c r="L30" i="12" s="1"/>
  <c r="D30" i="12"/>
  <c r="K30" i="12" s="1"/>
  <c r="E29" i="12"/>
  <c r="J29" i="12" s="1"/>
  <c r="D29" i="12"/>
  <c r="I29" i="12" s="1"/>
  <c r="E28" i="12"/>
  <c r="H28" i="12" s="1"/>
  <c r="D28" i="12"/>
  <c r="G28" i="12" s="1"/>
  <c r="C25" i="39" l="1"/>
  <c r="H29" i="39"/>
  <c r="P14" i="39"/>
  <c r="F29" i="39"/>
  <c r="F5" i="39" s="1"/>
  <c r="P25" i="39" l="1"/>
  <c r="P29" i="39" s="1"/>
  <c r="C29" i="39"/>
  <c r="C23" i="37"/>
  <c r="G21" i="37"/>
  <c r="G20" i="37"/>
  <c r="G19" i="37"/>
  <c r="B21" i="37"/>
  <c r="J36" i="37"/>
  <c r="K36" i="37"/>
  <c r="L36" i="37"/>
  <c r="M36" i="37"/>
  <c r="N36" i="37"/>
  <c r="O36" i="37"/>
  <c r="J37" i="37"/>
  <c r="K37" i="37"/>
  <c r="L37" i="37"/>
  <c r="M37" i="37"/>
  <c r="N37" i="37"/>
  <c r="O37" i="37"/>
  <c r="J38" i="37"/>
  <c r="K38" i="37"/>
  <c r="L38" i="37"/>
  <c r="M38" i="37"/>
  <c r="N38" i="37"/>
  <c r="O38" i="37"/>
  <c r="D31" i="37"/>
  <c r="E31" i="37"/>
  <c r="F31" i="37"/>
  <c r="C31" i="37"/>
  <c r="B20" i="37"/>
  <c r="B19" i="37"/>
  <c r="O50" i="37"/>
  <c r="N50" i="37"/>
  <c r="M50" i="37"/>
  <c r="L50" i="37"/>
  <c r="K50" i="37"/>
  <c r="J50" i="37"/>
  <c r="I50" i="37"/>
  <c r="G50" i="37"/>
  <c r="E50" i="37"/>
  <c r="D50" i="37"/>
  <c r="P49" i="37"/>
  <c r="P48" i="37"/>
  <c r="P47" i="37"/>
  <c r="O28" i="37"/>
  <c r="N28" i="37"/>
  <c r="M28" i="37"/>
  <c r="L28" i="37"/>
  <c r="K28" i="37"/>
  <c r="J28" i="37"/>
  <c r="I28" i="37"/>
  <c r="H28" i="37"/>
  <c r="G28" i="37"/>
  <c r="F28" i="37"/>
  <c r="E28" i="37"/>
  <c r="D28" i="37"/>
  <c r="C28" i="37"/>
  <c r="P27" i="37"/>
  <c r="P26" i="37"/>
  <c r="C5" i="39" l="1"/>
  <c r="H46" i="37"/>
  <c r="H50" i="37" s="1"/>
  <c r="F46" i="37"/>
  <c r="F50" i="37" s="1"/>
  <c r="C46" i="37"/>
  <c r="C50" i="37" s="1"/>
  <c r="P28" i="37"/>
  <c r="G54" i="12"/>
  <c r="H54" i="12"/>
  <c r="I54" i="12"/>
  <c r="J54" i="12"/>
  <c r="K54" i="12"/>
  <c r="L54" i="12"/>
  <c r="M54" i="12"/>
  <c r="N54" i="12"/>
  <c r="O54" i="12"/>
  <c r="P54" i="12"/>
  <c r="F54" i="12"/>
  <c r="E53" i="12"/>
  <c r="D187" i="3"/>
  <c r="P52" i="12"/>
  <c r="O52" i="12"/>
  <c r="N52" i="12"/>
  <c r="M52" i="12"/>
  <c r="L52" i="12"/>
  <c r="K52" i="12"/>
  <c r="J52" i="12"/>
  <c r="I52" i="12"/>
  <c r="H52" i="12"/>
  <c r="G52" i="12"/>
  <c r="F52" i="12"/>
  <c r="E51" i="12"/>
  <c r="D186" i="3"/>
  <c r="P46" i="37" l="1"/>
  <c r="P50" i="37" s="1"/>
  <c r="D119" i="3" l="1"/>
  <c r="B92" i="3" l="1"/>
  <c r="J10" i="9" s="1"/>
  <c r="B89" i="3"/>
  <c r="J9" i="9" s="1"/>
  <c r="K155" i="27"/>
  <c r="B99" i="3" l="1"/>
  <c r="B101" i="3" s="1"/>
  <c r="K10" i="9" s="1"/>
  <c r="D25" i="3" l="1"/>
  <c r="D41" i="3" s="1"/>
  <c r="D52" i="3"/>
  <c r="D48" i="3"/>
  <c r="D44" i="3"/>
  <c r="D40" i="3"/>
  <c r="D38" i="3"/>
  <c r="D19" i="3"/>
  <c r="D37" i="3" s="1"/>
  <c r="D83" i="8" l="1"/>
  <c r="E106" i="34"/>
  <c r="F106" i="34"/>
  <c r="D106" i="34"/>
  <c r="B9" i="30"/>
  <c r="C9" i="30"/>
  <c r="D9" i="30"/>
  <c r="E9" i="30"/>
  <c r="F9" i="30"/>
  <c r="K10" i="30"/>
  <c r="L10" i="30"/>
  <c r="M10" i="30"/>
  <c r="N10" i="30"/>
  <c r="K11" i="30"/>
  <c r="L11" i="30"/>
  <c r="M11" i="30"/>
  <c r="N11" i="30"/>
  <c r="K12" i="30"/>
  <c r="L12" i="30"/>
  <c r="M12" i="30"/>
  <c r="N12" i="30"/>
  <c r="B13" i="30"/>
  <c r="C13" i="30"/>
  <c r="D13" i="30"/>
  <c r="E13" i="30"/>
  <c r="F13" i="30"/>
  <c r="B41" i="17"/>
  <c r="B40" i="17"/>
  <c r="B48" i="17" l="1"/>
  <c r="B47" i="17"/>
  <c r="B46" i="17"/>
  <c r="B39" i="17"/>
  <c r="B38" i="17"/>
  <c r="B37" i="17"/>
  <c r="B42" i="17" s="1"/>
  <c r="D41" i="17" l="1"/>
  <c r="K13" i="12" s="1"/>
  <c r="D38" i="17"/>
  <c r="D39" i="17"/>
  <c r="K11" i="12" s="1"/>
  <c r="D40" i="17"/>
  <c r="K12" i="12" s="1"/>
  <c r="D37" i="17"/>
  <c r="K10" i="12"/>
  <c r="C84" i="6"/>
  <c r="K9" i="12" l="1"/>
  <c r="D42" i="17"/>
  <c r="D35" i="34"/>
  <c r="D29" i="34"/>
  <c r="B96" i="3"/>
  <c r="B98" i="3" s="1"/>
  <c r="K9" i="9" s="1"/>
  <c r="F20" i="34" l="1"/>
  <c r="E20" i="34"/>
  <c r="C20" i="34"/>
  <c r="G78" i="6"/>
  <c r="B49" i="17" s="1"/>
  <c r="G79" i="6"/>
  <c r="G80" i="6"/>
  <c r="G81" i="6"/>
  <c r="B50" i="17" s="1"/>
  <c r="G82" i="6"/>
  <c r="G83" i="6"/>
  <c r="B51" i="17" l="1"/>
  <c r="D49" i="17" s="1"/>
  <c r="M12" i="12" s="1"/>
  <c r="G84" i="6"/>
  <c r="D101" i="34"/>
  <c r="D39" i="3"/>
  <c r="F12" i="34" s="1"/>
  <c r="C19" i="34"/>
  <c r="C18" i="34"/>
  <c r="C17" i="34"/>
  <c r="E29" i="34"/>
  <c r="E28" i="34"/>
  <c r="D28" i="34"/>
  <c r="E35" i="34"/>
  <c r="D34" i="34"/>
  <c r="E34" i="34"/>
  <c r="D33" i="34"/>
  <c r="E33" i="34"/>
  <c r="C33" i="34"/>
  <c r="E27" i="34"/>
  <c r="D27" i="34"/>
  <c r="C27" i="34"/>
  <c r="F11" i="34"/>
  <c r="F13" i="34"/>
  <c r="F16" i="34"/>
  <c r="F17" i="34"/>
  <c r="F19" i="34"/>
  <c r="E19" i="34"/>
  <c r="E16" i="34"/>
  <c r="C15" i="34"/>
  <c r="C16" i="34"/>
  <c r="C11" i="34"/>
  <c r="C12" i="34"/>
  <c r="E17" i="34"/>
  <c r="E11" i="34"/>
  <c r="E40" i="34"/>
  <c r="D40" i="34"/>
  <c r="E39" i="34"/>
  <c r="D39" i="34"/>
  <c r="E24" i="34"/>
  <c r="C24" i="34"/>
  <c r="E23" i="34"/>
  <c r="E14" i="34"/>
  <c r="C14" i="34"/>
  <c r="E13" i="34"/>
  <c r="C13" i="34"/>
  <c r="C10" i="34"/>
  <c r="C7" i="34"/>
  <c r="D28" i="3"/>
  <c r="E15" i="34" s="1"/>
  <c r="D46" i="3"/>
  <c r="F15" i="34" s="1"/>
  <c r="D43" i="3"/>
  <c r="F14" i="34" s="1"/>
  <c r="F10" i="34"/>
  <c r="D21" i="3"/>
  <c r="E12" i="34" l="1"/>
  <c r="B91" i="3"/>
  <c r="C29" i="34" s="1"/>
  <c r="B88" i="3"/>
  <c r="D48" i="17"/>
  <c r="M11" i="12" s="1"/>
  <c r="D50" i="17"/>
  <c r="M13" i="12" s="1"/>
  <c r="D47" i="17"/>
  <c r="D46" i="17"/>
  <c r="M9" i="12" s="1"/>
  <c r="B100" i="3"/>
  <c r="C35" i="34" s="1"/>
  <c r="B97" i="3"/>
  <c r="C34" i="34" s="1"/>
  <c r="C30" i="34"/>
  <c r="K63" i="34" s="1"/>
  <c r="E63" i="34"/>
  <c r="D107" i="34"/>
  <c r="D102" i="34"/>
  <c r="D98" i="34"/>
  <c r="C36" i="34"/>
  <c r="E177" i="3"/>
  <c r="E174" i="3"/>
  <c r="E175" i="3" s="1"/>
  <c r="G63" i="34" l="1"/>
  <c r="E12" i="37" s="1"/>
  <c r="E13" i="37" s="1"/>
  <c r="E36" i="37" s="1"/>
  <c r="I63" i="34"/>
  <c r="G12" i="37" s="1"/>
  <c r="G13" i="37" s="1"/>
  <c r="G36" i="37" s="1"/>
  <c r="F63" i="34"/>
  <c r="C10" i="30" s="1"/>
  <c r="J63" i="34"/>
  <c r="H63" i="34"/>
  <c r="E186" i="3"/>
  <c r="E187" i="3"/>
  <c r="I12" i="37"/>
  <c r="I13" i="37" s="1"/>
  <c r="I36" i="37" s="1"/>
  <c r="C12" i="37"/>
  <c r="C13" i="37" s="1"/>
  <c r="C36" i="37" s="1"/>
  <c r="B10" i="30"/>
  <c r="D51" i="17"/>
  <c r="M10" i="12"/>
  <c r="G65" i="34"/>
  <c r="K65" i="34"/>
  <c r="H65" i="34"/>
  <c r="E65" i="34"/>
  <c r="I65" i="34"/>
  <c r="F65" i="34"/>
  <c r="J65" i="34"/>
  <c r="I79" i="34"/>
  <c r="M79" i="34"/>
  <c r="K80" i="34"/>
  <c r="I81" i="34"/>
  <c r="M81" i="34"/>
  <c r="J79" i="34"/>
  <c r="H80" i="34"/>
  <c r="L80" i="34"/>
  <c r="J81" i="34"/>
  <c r="G80" i="34"/>
  <c r="L79" i="34"/>
  <c r="G79" i="34"/>
  <c r="K79" i="34"/>
  <c r="I80" i="34"/>
  <c r="M80" i="34"/>
  <c r="K81" i="34"/>
  <c r="G81" i="34"/>
  <c r="H79" i="34"/>
  <c r="J80" i="34"/>
  <c r="H81" i="34"/>
  <c r="L81" i="34"/>
  <c r="B26" i="29"/>
  <c r="D12" i="37" l="1"/>
  <c r="D13" i="37" s="1"/>
  <c r="D36" i="37" s="1"/>
  <c r="H12" i="37"/>
  <c r="H13" i="37" s="1"/>
  <c r="H36" i="37" s="1"/>
  <c r="F12" i="37"/>
  <c r="F13" i="37" s="1"/>
  <c r="F36" i="37" s="1"/>
  <c r="C16" i="37"/>
  <c r="C17" i="37" s="1"/>
  <c r="C38" i="37" s="1"/>
  <c r="E16" i="37"/>
  <c r="E17" i="37" s="1"/>
  <c r="E38" i="37" s="1"/>
  <c r="H16" i="37"/>
  <c r="H17" i="37" s="1"/>
  <c r="H38" i="37" s="1"/>
  <c r="F16" i="37"/>
  <c r="F17" i="37" s="1"/>
  <c r="F38" i="37" s="1"/>
  <c r="G16" i="37"/>
  <c r="G17" i="37" s="1"/>
  <c r="G38" i="37" s="1"/>
  <c r="D16" i="37"/>
  <c r="D17" i="37" s="1"/>
  <c r="D38" i="37" s="1"/>
  <c r="I16" i="37"/>
  <c r="I17" i="37" s="1"/>
  <c r="I38" i="37" s="1"/>
  <c r="C12" i="30"/>
  <c r="J11" i="30"/>
  <c r="I10" i="30"/>
  <c r="J10" i="30"/>
  <c r="I12" i="30"/>
  <c r="J12" i="30"/>
  <c r="F10" i="30"/>
  <c r="B12" i="30"/>
  <c r="I11" i="30"/>
  <c r="H106" i="34"/>
  <c r="G106" i="34"/>
  <c r="G12" i="30"/>
  <c r="E12" i="30"/>
  <c r="D10" i="30"/>
  <c r="H10" i="30"/>
  <c r="H12" i="30"/>
  <c r="E10" i="30"/>
  <c r="J106" i="34"/>
  <c r="F12" i="30"/>
  <c r="D12" i="30"/>
  <c r="G10" i="30"/>
  <c r="I106" i="34"/>
  <c r="P36" i="37" l="1"/>
  <c r="P38" i="37"/>
  <c r="O10" i="30"/>
  <c r="O12" i="30"/>
  <c r="E102" i="11" l="1"/>
  <c r="F102" i="11"/>
  <c r="G102" i="11"/>
  <c r="H102" i="11"/>
  <c r="I102" i="11"/>
  <c r="J102" i="11"/>
  <c r="K102" i="11"/>
  <c r="L102" i="11"/>
  <c r="M102" i="11"/>
  <c r="N102" i="11"/>
  <c r="O102" i="11"/>
  <c r="D102" i="11"/>
  <c r="C9" i="11" l="1"/>
  <c r="C8" i="11"/>
  <c r="E10" i="34" l="1"/>
  <c r="C28" i="34"/>
  <c r="B16" i="30"/>
  <c r="B18" i="30"/>
  <c r="B14" i="30"/>
  <c r="B44" i="9"/>
  <c r="C44" i="9" s="1"/>
  <c r="B43" i="9"/>
  <c r="C43" i="9" s="1"/>
  <c r="D43" i="9" s="1"/>
  <c r="D55" i="9"/>
  <c r="D54" i="9"/>
  <c r="C55" i="9"/>
  <c r="C54" i="9"/>
  <c r="B55" i="9"/>
  <c r="B54" i="9"/>
  <c r="B34" i="9"/>
  <c r="B33" i="9"/>
  <c r="B18" i="10"/>
  <c r="B17" i="10"/>
  <c r="E64" i="34" l="1"/>
  <c r="C33" i="9"/>
  <c r="K64" i="34"/>
  <c r="J64" i="34"/>
  <c r="G64" i="34"/>
  <c r="H64" i="34"/>
  <c r="F64" i="34"/>
  <c r="I64" i="34"/>
  <c r="C34" i="9"/>
  <c r="B193" i="27"/>
  <c r="B192" i="27"/>
  <c r="B191" i="27"/>
  <c r="B155" i="27"/>
  <c r="B154" i="27"/>
  <c r="B119" i="27"/>
  <c r="B118" i="27"/>
  <c r="B117" i="27"/>
  <c r="B116" i="27"/>
  <c r="B115" i="27"/>
  <c r="B114" i="27"/>
  <c r="B113" i="27"/>
  <c r="D73" i="27"/>
  <c r="C73" i="27"/>
  <c r="B73" i="27"/>
  <c r="D72" i="27"/>
  <c r="C72" i="27"/>
  <c r="B72" i="27"/>
  <c r="D71" i="27"/>
  <c r="C71" i="27"/>
  <c r="B71" i="27"/>
  <c r="D70" i="27"/>
  <c r="C70" i="27"/>
  <c r="B70" i="27"/>
  <c r="H97" i="34" l="1"/>
  <c r="H101" i="34" s="1"/>
  <c r="H102" i="34" s="1"/>
  <c r="H105" i="34"/>
  <c r="F97" i="34"/>
  <c r="F101" i="34" s="1"/>
  <c r="F102" i="34" s="1"/>
  <c r="F105" i="34"/>
  <c r="G97" i="34"/>
  <c r="G105" i="34"/>
  <c r="E105" i="34"/>
  <c r="E97" i="34"/>
  <c r="E101" i="34" s="1"/>
  <c r="E102" i="34" s="1"/>
  <c r="E14" i="37"/>
  <c r="E15" i="37" s="1"/>
  <c r="E37" i="37" s="1"/>
  <c r="C14" i="37"/>
  <c r="C15" i="37" s="1"/>
  <c r="C37" i="37" s="1"/>
  <c r="G14" i="37"/>
  <c r="G15" i="37" s="1"/>
  <c r="G37" i="37" s="1"/>
  <c r="H14" i="37"/>
  <c r="H15" i="37" s="1"/>
  <c r="H37" i="37" s="1"/>
  <c r="I14" i="37"/>
  <c r="I15" i="37" s="1"/>
  <c r="I37" i="37" s="1"/>
  <c r="D14" i="37"/>
  <c r="D15" i="37" s="1"/>
  <c r="D37" i="37" s="1"/>
  <c r="F14" i="37"/>
  <c r="F15" i="37" s="1"/>
  <c r="F37" i="37" s="1"/>
  <c r="F11" i="30"/>
  <c r="G11" i="30"/>
  <c r="H11" i="30"/>
  <c r="C11" i="30"/>
  <c r="E11" i="30"/>
  <c r="H107" i="34"/>
  <c r="D11" i="30"/>
  <c r="G101" i="34"/>
  <c r="G102" i="34" s="1"/>
  <c r="B11" i="30"/>
  <c r="D33" i="9"/>
  <c r="B190" i="27"/>
  <c r="D39" i="37" l="1"/>
  <c r="D7" i="37" s="1"/>
  <c r="F39" i="37"/>
  <c r="F7" i="37" s="1"/>
  <c r="E39" i="37"/>
  <c r="E7" i="37" s="1"/>
  <c r="P37" i="37"/>
  <c r="C39" i="37"/>
  <c r="C7" i="37" s="1"/>
  <c r="O11" i="30"/>
  <c r="F107" i="34"/>
  <c r="H98" i="34"/>
  <c r="G98" i="34"/>
  <c r="E107" i="34"/>
  <c r="G107" i="34"/>
  <c r="F98" i="34"/>
  <c r="E98" i="34"/>
  <c r="E32" i="8"/>
  <c r="G32" i="8"/>
  <c r="C20" i="27" l="1"/>
  <c r="D20" i="27"/>
  <c r="D124" i="3" l="1"/>
  <c r="D123" i="3"/>
  <c r="D117" i="3" l="1"/>
  <c r="D116" i="3"/>
  <c r="B9" i="9"/>
  <c r="D9" i="9"/>
  <c r="D122" i="3"/>
  <c r="D121" i="3"/>
  <c r="D31" i="3" l="1"/>
  <c r="C8" i="10"/>
  <c r="F8" i="10"/>
  <c r="C9" i="10"/>
  <c r="F9" i="10"/>
  <c r="D32" i="3" l="1"/>
  <c r="E18" i="34" s="1"/>
  <c r="D49" i="3"/>
  <c r="D50" i="3" s="1"/>
  <c r="F18" i="34" s="1"/>
  <c r="C22" i="27"/>
  <c r="D21" i="27"/>
  <c r="R60" i="34" l="1"/>
  <c r="R97" i="34" s="1"/>
  <c r="B11" i="9"/>
  <c r="D11" i="9"/>
  <c r="F29" i="4" l="1"/>
  <c r="F28" i="4"/>
  <c r="F27" i="4"/>
  <c r="F26" i="4"/>
  <c r="F21" i="4"/>
  <c r="F20" i="4"/>
  <c r="C25" i="4"/>
  <c r="C22" i="4"/>
  <c r="C21" i="4"/>
  <c r="C20" i="4"/>
  <c r="E28" i="4"/>
  <c r="E29" i="4"/>
  <c r="D25" i="4" l="1"/>
  <c r="G27" i="4"/>
  <c r="G29" i="4"/>
  <c r="G26" i="4"/>
  <c r="G21" i="4"/>
  <c r="G20" i="4"/>
  <c r="G28" i="4"/>
  <c r="D21" i="4"/>
  <c r="D22" i="4"/>
  <c r="D20" i="4"/>
  <c r="B12" i="4" l="1"/>
  <c r="C17" i="11" s="1"/>
  <c r="G30" i="4"/>
  <c r="D30" i="4"/>
  <c r="B9" i="4"/>
  <c r="B36" i="9" l="1"/>
  <c r="B20" i="9"/>
  <c r="B37" i="9"/>
  <c r="B21" i="9"/>
  <c r="B38" i="9"/>
  <c r="B22" i="9"/>
  <c r="B39" i="9"/>
  <c r="B24" i="9"/>
  <c r="B40" i="9"/>
  <c r="B25" i="9"/>
  <c r="D7" i="9"/>
  <c r="D12" i="9"/>
  <c r="F7" i="5"/>
  <c r="F8" i="5" s="1"/>
  <c r="C20" i="9"/>
  <c r="C21" i="9"/>
  <c r="C22" i="9"/>
  <c r="C24" i="9"/>
  <c r="C25" i="9"/>
  <c r="D20" i="9"/>
  <c r="D21" i="9"/>
  <c r="D22" i="9"/>
  <c r="D24" i="9"/>
  <c r="D25" i="9"/>
  <c r="D14" i="9"/>
  <c r="E20" i="9"/>
  <c r="E21" i="9"/>
  <c r="E22" i="9"/>
  <c r="E24" i="9"/>
  <c r="E25" i="9"/>
  <c r="C36" i="9"/>
  <c r="C37" i="9"/>
  <c r="C38" i="9"/>
  <c r="C39" i="9"/>
  <c r="C40" i="9"/>
  <c r="D8" i="9"/>
  <c r="D36" i="9"/>
  <c r="D37" i="9"/>
  <c r="D38" i="9"/>
  <c r="D39" i="9"/>
  <c r="D40" i="9"/>
  <c r="D13" i="9"/>
  <c r="C8" i="12"/>
  <c r="C9" i="12"/>
  <c r="B14" i="27"/>
  <c r="C19" i="29" s="1"/>
  <c r="C10" i="12"/>
  <c r="C11" i="12"/>
  <c r="B9" i="6"/>
  <c r="C15" i="10" s="1"/>
  <c r="F7" i="10"/>
  <c r="F11" i="10"/>
  <c r="F12" i="10"/>
  <c r="F9" i="27"/>
  <c r="G9" i="27"/>
  <c r="H9" i="27"/>
  <c r="I9" i="27"/>
  <c r="J9" i="27"/>
  <c r="K9" i="27"/>
  <c r="F10" i="27"/>
  <c r="G10" i="27"/>
  <c r="H10" i="27"/>
  <c r="I10" i="27"/>
  <c r="J10" i="27"/>
  <c r="K10" i="27"/>
  <c r="F11" i="27"/>
  <c r="G11" i="27"/>
  <c r="H11" i="27"/>
  <c r="I11" i="27"/>
  <c r="J11" i="27"/>
  <c r="K11" i="27"/>
  <c r="F12" i="27"/>
  <c r="G12" i="27"/>
  <c r="H12" i="27"/>
  <c r="I12" i="27"/>
  <c r="J12" i="27"/>
  <c r="K12" i="27"/>
  <c r="F13" i="27"/>
  <c r="G13" i="27"/>
  <c r="H13" i="27"/>
  <c r="I13" i="27"/>
  <c r="J13" i="27"/>
  <c r="K13" i="27"/>
  <c r="C14" i="11"/>
  <c r="F44" i="4"/>
  <c r="E101" i="11" s="1"/>
  <c r="D32" i="11"/>
  <c r="D33" i="11"/>
  <c r="D34" i="11"/>
  <c r="D36" i="11"/>
  <c r="Q13" i="27"/>
  <c r="D68" i="11" s="1"/>
  <c r="D37" i="11"/>
  <c r="C24" i="11"/>
  <c r="E32" i="11"/>
  <c r="E33" i="11"/>
  <c r="E34" i="11"/>
  <c r="E36" i="11"/>
  <c r="E37" i="11"/>
  <c r="C20" i="11"/>
  <c r="C98" i="4"/>
  <c r="C99" i="4"/>
  <c r="C100" i="4"/>
  <c r="C101" i="4"/>
  <c r="C102" i="4"/>
  <c r="C103" i="4"/>
  <c r="E104" i="11"/>
  <c r="C21" i="11"/>
  <c r="C13" i="29"/>
  <c r="C7" i="29"/>
  <c r="B7" i="29"/>
  <c r="B20" i="27"/>
  <c r="H20" i="27" s="1"/>
  <c r="B21" i="27"/>
  <c r="G21" i="27" s="1"/>
  <c r="C21" i="27"/>
  <c r="B22" i="27"/>
  <c r="G22" i="27" s="1"/>
  <c r="B23" i="27"/>
  <c r="G23" i="27" s="1"/>
  <c r="C23" i="27"/>
  <c r="B24" i="27"/>
  <c r="G24" i="27" s="1"/>
  <c r="C24" i="27"/>
  <c r="F45" i="4"/>
  <c r="F101" i="11" s="1"/>
  <c r="E20" i="27"/>
  <c r="E21" i="27"/>
  <c r="E22" i="27"/>
  <c r="E23" i="27"/>
  <c r="E24" i="27"/>
  <c r="C104" i="4"/>
  <c r="F104" i="11"/>
  <c r="F46" i="4"/>
  <c r="G101" i="11" s="1"/>
  <c r="C105" i="4"/>
  <c r="G104" i="11"/>
  <c r="F47" i="4"/>
  <c r="H101" i="11" s="1"/>
  <c r="C106" i="4"/>
  <c r="H104" i="11"/>
  <c r="F48" i="4"/>
  <c r="I101" i="11" s="1"/>
  <c r="C107" i="4"/>
  <c r="I104" i="11"/>
  <c r="G26" i="29"/>
  <c r="F49" i="4"/>
  <c r="J101" i="11" s="1"/>
  <c r="C108" i="4"/>
  <c r="J104" i="11"/>
  <c r="H19" i="29"/>
  <c r="F50" i="4"/>
  <c r="K101" i="11" s="1"/>
  <c r="C109" i="4"/>
  <c r="K104" i="11"/>
  <c r="F51" i="4"/>
  <c r="L101" i="11" s="1"/>
  <c r="C110" i="4"/>
  <c r="L104" i="11"/>
  <c r="J19" i="29"/>
  <c r="F52" i="4"/>
  <c r="M101" i="11" s="1"/>
  <c r="C111" i="4"/>
  <c r="M104" i="11"/>
  <c r="F41" i="4"/>
  <c r="C112" i="4"/>
  <c r="N104" i="11"/>
  <c r="C113" i="4"/>
  <c r="O104" i="11"/>
  <c r="M46" i="18"/>
  <c r="N46" i="18" s="1"/>
  <c r="O46" i="18" s="1"/>
  <c r="P46" i="18" s="1"/>
  <c r="Q46" i="18" s="1"/>
  <c r="R46" i="18" s="1"/>
  <c r="S46" i="18" s="1"/>
  <c r="T46" i="18" s="1"/>
  <c r="U46" i="18" s="1"/>
  <c r="V46" i="18" s="1"/>
  <c r="M56" i="18"/>
  <c r="B46" i="9"/>
  <c r="B47" i="9"/>
  <c r="B48" i="9"/>
  <c r="B23" i="9"/>
  <c r="B49" i="9"/>
  <c r="G7" i="5"/>
  <c r="G8" i="5"/>
  <c r="G9" i="5" s="1"/>
  <c r="C23" i="9"/>
  <c r="D23" i="9"/>
  <c r="E23" i="9"/>
  <c r="C46" i="9"/>
  <c r="C47" i="9"/>
  <c r="C48" i="9"/>
  <c r="C49" i="9"/>
  <c r="D46" i="9"/>
  <c r="D47" i="9"/>
  <c r="D48" i="9"/>
  <c r="D49" i="9"/>
  <c r="C64" i="27"/>
  <c r="B37" i="6"/>
  <c r="B16" i="10" s="1"/>
  <c r="C16" i="10" s="1"/>
  <c r="E60" i="27"/>
  <c r="F60" i="27"/>
  <c r="G60" i="27"/>
  <c r="H60" i="27"/>
  <c r="I60" i="27"/>
  <c r="J60" i="27"/>
  <c r="E61" i="27"/>
  <c r="F61" i="27"/>
  <c r="G61" i="27"/>
  <c r="H61" i="27"/>
  <c r="I61" i="27"/>
  <c r="J61" i="27"/>
  <c r="E62" i="27"/>
  <c r="F62" i="27"/>
  <c r="G62" i="27"/>
  <c r="H62" i="27"/>
  <c r="I62" i="27"/>
  <c r="J62" i="27"/>
  <c r="E63" i="27"/>
  <c r="F63" i="27"/>
  <c r="G63" i="27"/>
  <c r="H63" i="27"/>
  <c r="I63" i="27"/>
  <c r="J63" i="27"/>
  <c r="C15" i="11"/>
  <c r="D35" i="11"/>
  <c r="E35" i="11"/>
  <c r="B64" i="27"/>
  <c r="D20" i="29" s="1"/>
  <c r="C20" i="29"/>
  <c r="C14" i="29"/>
  <c r="C8" i="29"/>
  <c r="C27" i="29"/>
  <c r="B8" i="29"/>
  <c r="E70" i="27"/>
  <c r="F70" i="27"/>
  <c r="G70" i="27"/>
  <c r="H70" i="27"/>
  <c r="I70" i="27"/>
  <c r="J70" i="27"/>
  <c r="E71" i="27"/>
  <c r="F71" i="27"/>
  <c r="G71" i="27"/>
  <c r="H71" i="27"/>
  <c r="I71" i="27"/>
  <c r="J71" i="27"/>
  <c r="E72" i="27"/>
  <c r="F72" i="27"/>
  <c r="G72" i="27"/>
  <c r="H72" i="27"/>
  <c r="I72" i="27"/>
  <c r="J72" i="27"/>
  <c r="E73" i="27"/>
  <c r="F73" i="27"/>
  <c r="G73" i="27"/>
  <c r="H73" i="27"/>
  <c r="I73" i="27"/>
  <c r="J73" i="27"/>
  <c r="M47" i="18"/>
  <c r="N47" i="18" s="1"/>
  <c r="O47" i="18" s="1"/>
  <c r="P47" i="18" s="1"/>
  <c r="Q47" i="18" s="1"/>
  <c r="R47" i="18" s="1"/>
  <c r="S47" i="18" s="1"/>
  <c r="T47" i="18" s="1"/>
  <c r="U47" i="18" s="1"/>
  <c r="V47" i="18" s="1"/>
  <c r="M57" i="18"/>
  <c r="H7" i="5"/>
  <c r="H8" i="5" s="1"/>
  <c r="H9" i="5" s="1"/>
  <c r="C15" i="29"/>
  <c r="C9" i="29"/>
  <c r="B9" i="29"/>
  <c r="E58" i="6"/>
  <c r="B57" i="9" s="1"/>
  <c r="L20" i="9"/>
  <c r="E59" i="6"/>
  <c r="B58" i="9" s="1"/>
  <c r="L21" i="9"/>
  <c r="E60" i="6"/>
  <c r="B59" i="9" s="1"/>
  <c r="L23" i="9"/>
  <c r="E61" i="6"/>
  <c r="B60" i="9" s="1"/>
  <c r="L24" i="9"/>
  <c r="E62" i="6"/>
  <c r="B62" i="9" s="1"/>
  <c r="L25" i="9"/>
  <c r="E63" i="6"/>
  <c r="B63" i="9" s="1"/>
  <c r="L27" i="9"/>
  <c r="M20" i="9"/>
  <c r="M21" i="9"/>
  <c r="M23" i="9"/>
  <c r="M24" i="9"/>
  <c r="M25" i="9"/>
  <c r="M27" i="9"/>
  <c r="N20" i="9"/>
  <c r="N21" i="9"/>
  <c r="N23" i="9"/>
  <c r="N24" i="9"/>
  <c r="N25" i="9"/>
  <c r="N27" i="9"/>
  <c r="O20" i="9"/>
  <c r="O21" i="9"/>
  <c r="O23" i="9"/>
  <c r="O24" i="9"/>
  <c r="O25" i="9"/>
  <c r="O27" i="9"/>
  <c r="H53" i="6"/>
  <c r="C17" i="10" s="1"/>
  <c r="C100" i="27"/>
  <c r="D100" i="27"/>
  <c r="E100" i="27"/>
  <c r="F100" i="27"/>
  <c r="G100" i="27"/>
  <c r="H100" i="27"/>
  <c r="C101" i="27"/>
  <c r="D101" i="27"/>
  <c r="E101" i="27"/>
  <c r="F101" i="27"/>
  <c r="G101" i="27"/>
  <c r="H101" i="27"/>
  <c r="C102" i="27"/>
  <c r="D102" i="27"/>
  <c r="E102" i="27"/>
  <c r="F102" i="27"/>
  <c r="G102" i="27"/>
  <c r="H102" i="27"/>
  <c r="C103" i="27"/>
  <c r="D103" i="27"/>
  <c r="E103" i="27"/>
  <c r="F103" i="27"/>
  <c r="G103" i="27"/>
  <c r="H103" i="27"/>
  <c r="C104" i="27"/>
  <c r="D104" i="27"/>
  <c r="E104" i="27"/>
  <c r="F104" i="27"/>
  <c r="G104" i="27"/>
  <c r="H104" i="27"/>
  <c r="C105" i="27"/>
  <c r="D105" i="27"/>
  <c r="E105" i="27"/>
  <c r="F105" i="27"/>
  <c r="G105" i="27"/>
  <c r="H105" i="27"/>
  <c r="C106" i="27"/>
  <c r="D106" i="27"/>
  <c r="E106" i="27"/>
  <c r="F106" i="27"/>
  <c r="G106" i="27"/>
  <c r="H106" i="27"/>
  <c r="C10" i="11"/>
  <c r="C16" i="11"/>
  <c r="D39" i="11"/>
  <c r="D40" i="11"/>
  <c r="E39" i="11"/>
  <c r="E40" i="11"/>
  <c r="B107" i="27"/>
  <c r="F21" i="29" s="1"/>
  <c r="C113" i="27"/>
  <c r="D113" i="27"/>
  <c r="E113" i="27"/>
  <c r="F113" i="27"/>
  <c r="G113" i="27"/>
  <c r="H113" i="27"/>
  <c r="C114" i="27"/>
  <c r="D114" i="27"/>
  <c r="E114" i="27"/>
  <c r="F114" i="27"/>
  <c r="G114" i="27"/>
  <c r="H114" i="27"/>
  <c r="C115" i="27"/>
  <c r="D115" i="27"/>
  <c r="E115" i="27"/>
  <c r="F115" i="27"/>
  <c r="G115" i="27"/>
  <c r="H115" i="27"/>
  <c r="C116" i="27"/>
  <c r="D116" i="27"/>
  <c r="E116" i="27"/>
  <c r="F116" i="27"/>
  <c r="G116" i="27"/>
  <c r="H116" i="27"/>
  <c r="C117" i="27"/>
  <c r="D117" i="27"/>
  <c r="E117" i="27"/>
  <c r="F117" i="27"/>
  <c r="G117" i="27"/>
  <c r="H117" i="27"/>
  <c r="C118" i="27"/>
  <c r="D118" i="27"/>
  <c r="E118" i="27"/>
  <c r="F118" i="27"/>
  <c r="G118" i="27"/>
  <c r="H118" i="27"/>
  <c r="C119" i="27"/>
  <c r="D119" i="27"/>
  <c r="E119" i="27"/>
  <c r="F119" i="27"/>
  <c r="G119" i="27"/>
  <c r="H119" i="27"/>
  <c r="M48" i="18"/>
  <c r="M58" i="18"/>
  <c r="N58" i="18" s="1"/>
  <c r="O58" i="18" s="1"/>
  <c r="P58" i="18" s="1"/>
  <c r="Q58" i="18" s="1"/>
  <c r="R58" i="18" s="1"/>
  <c r="S58" i="18" s="1"/>
  <c r="T58" i="18" s="1"/>
  <c r="U58" i="18" s="1"/>
  <c r="V58" i="18" s="1"/>
  <c r="I7" i="5"/>
  <c r="I8" i="5" s="1"/>
  <c r="C16" i="29"/>
  <c r="C10" i="29"/>
  <c r="B10" i="29"/>
  <c r="E78" i="6"/>
  <c r="C57" i="9" s="1"/>
  <c r="E79" i="6"/>
  <c r="C58" i="9" s="1"/>
  <c r="D10" i="9"/>
  <c r="C18" i="10"/>
  <c r="F10" i="10"/>
  <c r="B148" i="27"/>
  <c r="C146" i="27"/>
  <c r="D146" i="27"/>
  <c r="E146" i="27"/>
  <c r="F146" i="27"/>
  <c r="G146" i="27"/>
  <c r="H146" i="27"/>
  <c r="C147" i="27"/>
  <c r="D147" i="27"/>
  <c r="E147" i="27"/>
  <c r="F147" i="27"/>
  <c r="G147" i="27"/>
  <c r="H147" i="27"/>
  <c r="C11" i="11"/>
  <c r="E80" i="6"/>
  <c r="D61" i="9" s="1"/>
  <c r="L26" i="9"/>
  <c r="E81" i="6"/>
  <c r="D63" i="9" s="1"/>
  <c r="E82" i="6"/>
  <c r="D64" i="9" s="1"/>
  <c r="L28" i="9"/>
  <c r="E83" i="6"/>
  <c r="D65" i="9" s="1"/>
  <c r="L29" i="9"/>
  <c r="M26" i="9"/>
  <c r="M28" i="9"/>
  <c r="M29" i="9"/>
  <c r="C154" i="27"/>
  <c r="D154" i="27"/>
  <c r="E154" i="27"/>
  <c r="F154" i="27"/>
  <c r="G154" i="27"/>
  <c r="H154" i="27"/>
  <c r="C155" i="27"/>
  <c r="D155" i="27"/>
  <c r="E155" i="27"/>
  <c r="F155" i="27"/>
  <c r="G155" i="27"/>
  <c r="H155" i="27"/>
  <c r="B184" i="27"/>
  <c r="C180" i="27"/>
  <c r="D180" i="27"/>
  <c r="E180" i="27"/>
  <c r="F180" i="27"/>
  <c r="G180" i="27"/>
  <c r="H180" i="27"/>
  <c r="C181" i="27"/>
  <c r="D181" i="27"/>
  <c r="E181" i="27"/>
  <c r="F181" i="27"/>
  <c r="G181" i="27"/>
  <c r="H181" i="27"/>
  <c r="C182" i="27"/>
  <c r="D182" i="27"/>
  <c r="E182" i="27"/>
  <c r="F182" i="27"/>
  <c r="G182" i="27"/>
  <c r="H182" i="27"/>
  <c r="C183" i="27"/>
  <c r="D183" i="27"/>
  <c r="E183" i="27"/>
  <c r="F183" i="27"/>
  <c r="G183" i="27"/>
  <c r="H183" i="27"/>
  <c r="D38" i="11"/>
  <c r="D41" i="11"/>
  <c r="E38" i="11"/>
  <c r="E41" i="11"/>
  <c r="C190" i="27"/>
  <c r="D190" i="27"/>
  <c r="E190" i="27"/>
  <c r="F190" i="27"/>
  <c r="G190" i="27"/>
  <c r="H190" i="27"/>
  <c r="C191" i="27"/>
  <c r="D191" i="27"/>
  <c r="E191" i="27"/>
  <c r="F191" i="27"/>
  <c r="G191" i="27"/>
  <c r="H191" i="27"/>
  <c r="C192" i="27"/>
  <c r="D192" i="27"/>
  <c r="E192" i="27"/>
  <c r="F192" i="27"/>
  <c r="G192" i="27"/>
  <c r="H192" i="27"/>
  <c r="C193" i="27"/>
  <c r="D193" i="27"/>
  <c r="E193" i="27"/>
  <c r="F193" i="27"/>
  <c r="G193" i="27"/>
  <c r="H193" i="27"/>
  <c r="M49" i="18"/>
  <c r="M59" i="18"/>
  <c r="M50" i="18"/>
  <c r="N50" i="18" s="1"/>
  <c r="O50" i="18" s="1"/>
  <c r="P50" i="18" s="1"/>
  <c r="Q50" i="18" s="1"/>
  <c r="R50" i="18" s="1"/>
  <c r="S50" i="18" s="1"/>
  <c r="T50" i="18" s="1"/>
  <c r="U50" i="18" s="1"/>
  <c r="V50" i="18" s="1"/>
  <c r="M60" i="18"/>
  <c r="F43" i="4"/>
  <c r="D101" i="11" s="1"/>
  <c r="D104" i="11"/>
  <c r="B19" i="29"/>
  <c r="B8" i="6"/>
  <c r="B15" i="10" s="1"/>
  <c r="B32" i="11"/>
  <c r="B33" i="11"/>
  <c r="B34" i="11"/>
  <c r="B36" i="11"/>
  <c r="B37" i="11"/>
  <c r="C32" i="11"/>
  <c r="C33" i="11"/>
  <c r="C34" i="11"/>
  <c r="C36" i="11"/>
  <c r="C37" i="11"/>
  <c r="R9" i="27"/>
  <c r="R10" i="27"/>
  <c r="E7" i="8"/>
  <c r="C23" i="8"/>
  <c r="D22" i="27"/>
  <c r="D23" i="27"/>
  <c r="D24" i="27"/>
  <c r="R20" i="27"/>
  <c r="R21" i="27"/>
  <c r="B35" i="11"/>
  <c r="C35" i="11"/>
  <c r="F65" i="6"/>
  <c r="G28" i="8"/>
  <c r="G33" i="8"/>
  <c r="C24" i="8"/>
  <c r="R69" i="8" s="1"/>
  <c r="G30" i="8"/>
  <c r="G29" i="8"/>
  <c r="G34" i="8"/>
  <c r="C12" i="12"/>
  <c r="C13" i="12"/>
  <c r="C14" i="12"/>
  <c r="E44" i="12"/>
  <c r="C15" i="12"/>
  <c r="F44" i="12"/>
  <c r="G44" i="12"/>
  <c r="H44" i="12"/>
  <c r="I44" i="12"/>
  <c r="J44" i="12"/>
  <c r="K44" i="12"/>
  <c r="L44" i="12"/>
  <c r="M44" i="12"/>
  <c r="N44" i="12"/>
  <c r="O44" i="12"/>
  <c r="P44" i="12"/>
  <c r="E47" i="12"/>
  <c r="D184" i="3"/>
  <c r="C16" i="12" s="1"/>
  <c r="E184" i="3"/>
  <c r="C17" i="12" s="1"/>
  <c r="E49" i="12"/>
  <c r="D185" i="3"/>
  <c r="C18" i="12" s="1"/>
  <c r="E185" i="3"/>
  <c r="C19" i="12" s="1"/>
  <c r="F48" i="12"/>
  <c r="F50" i="12"/>
  <c r="G48" i="12"/>
  <c r="G50" i="12"/>
  <c r="H48" i="12"/>
  <c r="H50" i="12"/>
  <c r="I48" i="12"/>
  <c r="I50" i="12"/>
  <c r="J48" i="12"/>
  <c r="J50" i="12"/>
  <c r="K48" i="12"/>
  <c r="K50" i="12"/>
  <c r="L48" i="12"/>
  <c r="L50" i="12"/>
  <c r="M48" i="12"/>
  <c r="M50" i="12"/>
  <c r="N48" i="12"/>
  <c r="N50" i="12"/>
  <c r="O48" i="12"/>
  <c r="O50" i="12"/>
  <c r="P48" i="12"/>
  <c r="P50" i="12"/>
  <c r="D43" i="12"/>
  <c r="C64" i="10"/>
  <c r="C10" i="10"/>
  <c r="D93" i="8"/>
  <c r="E28" i="8"/>
  <c r="E64" i="6"/>
  <c r="E45" i="6"/>
  <c r="F84" i="6"/>
  <c r="A6" i="29"/>
  <c r="E93" i="8"/>
  <c r="D190" i="11"/>
  <c r="D197" i="11"/>
  <c r="E190" i="11"/>
  <c r="E197" i="11"/>
  <c r="F190" i="11"/>
  <c r="F197" i="11"/>
  <c r="G190" i="11"/>
  <c r="G197" i="11"/>
  <c r="D191" i="11"/>
  <c r="D198" i="11"/>
  <c r="E191" i="11"/>
  <c r="E198" i="11"/>
  <c r="F191" i="11"/>
  <c r="F198" i="11"/>
  <c r="G191" i="11"/>
  <c r="G198" i="11"/>
  <c r="H191" i="11"/>
  <c r="H198" i="11"/>
  <c r="I191" i="11"/>
  <c r="I198" i="11"/>
  <c r="C68" i="10"/>
  <c r="C70" i="10" s="1"/>
  <c r="C69" i="10"/>
  <c r="D64" i="10"/>
  <c r="E64" i="10"/>
  <c r="F64" i="10"/>
  <c r="G64" i="10"/>
  <c r="H64" i="10"/>
  <c r="I64" i="10"/>
  <c r="C63" i="10"/>
  <c r="D63" i="10"/>
  <c r="E63" i="10"/>
  <c r="F63" i="10"/>
  <c r="G63" i="10"/>
  <c r="C61" i="10"/>
  <c r="C62" i="10"/>
  <c r="C56" i="10"/>
  <c r="C57" i="10"/>
  <c r="C50" i="10"/>
  <c r="C51" i="10"/>
  <c r="E88" i="8"/>
  <c r="D88" i="8"/>
  <c r="E83" i="8"/>
  <c r="B24" i="11"/>
  <c r="B21" i="11"/>
  <c r="B20" i="11"/>
  <c r="D57" i="10"/>
  <c r="C52" i="10"/>
  <c r="C58" i="10"/>
  <c r="D18" i="10"/>
  <c r="D17" i="10"/>
  <c r="D16" i="10"/>
  <c r="D15" i="10"/>
  <c r="C24" i="10"/>
  <c r="C23" i="10"/>
  <c r="C22" i="10"/>
  <c r="C21" i="10"/>
  <c r="C12" i="10"/>
  <c r="C11" i="10"/>
  <c r="C7" i="10"/>
  <c r="D151" i="9"/>
  <c r="D150" i="9"/>
  <c r="E145" i="9"/>
  <c r="F145" i="9"/>
  <c r="G145" i="9"/>
  <c r="H145" i="9"/>
  <c r="D143" i="9"/>
  <c r="D144" i="9"/>
  <c r="D145" i="9"/>
  <c r="D132" i="9"/>
  <c r="D131" i="9"/>
  <c r="D137" i="9"/>
  <c r="D138" i="9"/>
  <c r="D127" i="9"/>
  <c r="D128" i="9" s="1"/>
  <c r="B8" i="9"/>
  <c r="D18" i="6"/>
  <c r="H37" i="8"/>
  <c r="H65" i="6"/>
  <c r="B194" i="27"/>
  <c r="B156" i="27"/>
  <c r="B120" i="27"/>
  <c r="B74" i="27"/>
  <c r="D74" i="27"/>
  <c r="C74" i="27"/>
  <c r="D64" i="27"/>
  <c r="F45" i="6"/>
  <c r="D45" i="6"/>
  <c r="F18" i="6"/>
  <c r="E18" i="6"/>
  <c r="B10" i="9"/>
  <c r="B12" i="9"/>
  <c r="B13" i="9"/>
  <c r="B14" i="9"/>
  <c r="B7" i="9"/>
  <c r="O29" i="9"/>
  <c r="N29" i="9"/>
  <c r="O28" i="9"/>
  <c r="N28" i="9"/>
  <c r="O26" i="9"/>
  <c r="N26" i="9"/>
  <c r="O22" i="9"/>
  <c r="N22" i="9"/>
  <c r="M22" i="9"/>
  <c r="L22" i="9"/>
  <c r="D47" i="8"/>
  <c r="D42" i="8"/>
  <c r="J18" i="6"/>
  <c r="E14" i="27"/>
  <c r="E29" i="8"/>
  <c r="E30" i="8"/>
  <c r="E31" i="8"/>
  <c r="E33" i="8"/>
  <c r="E34" i="8"/>
  <c r="C7" i="8"/>
  <c r="G31" i="8"/>
  <c r="D14" i="27"/>
  <c r="C14" i="27"/>
  <c r="M22" i="18"/>
  <c r="N22" i="18" s="1"/>
  <c r="O22" i="18" s="1"/>
  <c r="P22" i="18" s="1"/>
  <c r="Q22" i="18" s="1"/>
  <c r="R22" i="18" s="1"/>
  <c r="S22" i="18" s="1"/>
  <c r="T22" i="18" s="1"/>
  <c r="U22" i="18" s="1"/>
  <c r="V22" i="18" s="1"/>
  <c r="M21" i="18"/>
  <c r="N21" i="18" s="1"/>
  <c r="O21" i="18" s="1"/>
  <c r="P21" i="18" s="1"/>
  <c r="Q21" i="18" s="1"/>
  <c r="R21" i="18" s="1"/>
  <c r="S21" i="18" s="1"/>
  <c r="T21" i="18" s="1"/>
  <c r="U21" i="18" s="1"/>
  <c r="V21" i="18" s="1"/>
  <c r="M20" i="18"/>
  <c r="N20" i="18" s="1"/>
  <c r="O20" i="18" s="1"/>
  <c r="P20" i="18" s="1"/>
  <c r="Q20" i="18" s="1"/>
  <c r="R20" i="18" s="1"/>
  <c r="S20" i="18" s="1"/>
  <c r="T20" i="18" s="1"/>
  <c r="U20" i="18" s="1"/>
  <c r="V20" i="18" s="1"/>
  <c r="M19" i="18"/>
  <c r="N19" i="18" s="1"/>
  <c r="O19" i="18" s="1"/>
  <c r="P19" i="18" s="1"/>
  <c r="Q19" i="18" s="1"/>
  <c r="R19" i="18" s="1"/>
  <c r="S19" i="18" s="1"/>
  <c r="T19" i="18" s="1"/>
  <c r="U19" i="18" s="1"/>
  <c r="V19" i="18" s="1"/>
  <c r="M18" i="18"/>
  <c r="N18" i="18"/>
  <c r="O18" i="18" s="1"/>
  <c r="P18" i="18" s="1"/>
  <c r="Q18" i="18" s="1"/>
  <c r="R18" i="18" s="1"/>
  <c r="S18" i="18" s="1"/>
  <c r="T18" i="18" s="1"/>
  <c r="U18" i="18" s="1"/>
  <c r="V18" i="18" s="1"/>
  <c r="N49" i="18"/>
  <c r="O49" i="18" s="1"/>
  <c r="P49" i="18" s="1"/>
  <c r="Q49" i="18" s="1"/>
  <c r="R49" i="18" s="1"/>
  <c r="S49" i="18" s="1"/>
  <c r="T49" i="18" s="1"/>
  <c r="U49" i="18" s="1"/>
  <c r="V49" i="18" s="1"/>
  <c r="N48" i="18"/>
  <c r="O48" i="18" s="1"/>
  <c r="P48" i="18" s="1"/>
  <c r="Q48" i="18" s="1"/>
  <c r="R48" i="18" s="1"/>
  <c r="S48" i="18" s="1"/>
  <c r="T48" i="18" s="1"/>
  <c r="U48" i="18" s="1"/>
  <c r="V48" i="18" s="1"/>
  <c r="N60" i="18"/>
  <c r="O60" i="18" s="1"/>
  <c r="P60" i="18" s="1"/>
  <c r="Q60" i="18" s="1"/>
  <c r="R60" i="18" s="1"/>
  <c r="S60" i="18" s="1"/>
  <c r="T60" i="18" s="1"/>
  <c r="U60" i="18" s="1"/>
  <c r="V60" i="18" s="1"/>
  <c r="N59" i="18"/>
  <c r="O59" i="18" s="1"/>
  <c r="P59" i="18" s="1"/>
  <c r="Q59" i="18" s="1"/>
  <c r="R59" i="18" s="1"/>
  <c r="S59" i="18" s="1"/>
  <c r="T59" i="18" s="1"/>
  <c r="U59" i="18" s="1"/>
  <c r="V59" i="18" s="1"/>
  <c r="N57" i="18"/>
  <c r="O57" i="18" s="1"/>
  <c r="P57" i="18" s="1"/>
  <c r="Q57" i="18" s="1"/>
  <c r="R57" i="18" s="1"/>
  <c r="S57" i="18" s="1"/>
  <c r="T57" i="18" s="1"/>
  <c r="U57" i="18" s="1"/>
  <c r="V57" i="18" s="1"/>
  <c r="N56" i="18"/>
  <c r="O56" i="18"/>
  <c r="P56" i="18" s="1"/>
  <c r="Q56" i="18" s="1"/>
  <c r="R56" i="18" s="1"/>
  <c r="S56" i="18" s="1"/>
  <c r="T56" i="18" s="1"/>
  <c r="U56" i="18" s="1"/>
  <c r="V56" i="18" s="1"/>
  <c r="M41" i="18"/>
  <c r="N41" i="18" s="1"/>
  <c r="O41" i="18" s="1"/>
  <c r="P41" i="18" s="1"/>
  <c r="Q41" i="18" s="1"/>
  <c r="R41" i="18" s="1"/>
  <c r="S41" i="18" s="1"/>
  <c r="T41" i="18" s="1"/>
  <c r="U41" i="18" s="1"/>
  <c r="V41" i="18" s="1"/>
  <c r="M40" i="18"/>
  <c r="N40" i="18" s="1"/>
  <c r="O40" i="18" s="1"/>
  <c r="P40" i="18" s="1"/>
  <c r="Q40" i="18" s="1"/>
  <c r="R40" i="18" s="1"/>
  <c r="S40" i="18" s="1"/>
  <c r="T40" i="18" s="1"/>
  <c r="U40" i="18" s="1"/>
  <c r="V40" i="18" s="1"/>
  <c r="M39" i="18"/>
  <c r="N39" i="18" s="1"/>
  <c r="O39" i="18" s="1"/>
  <c r="P39" i="18" s="1"/>
  <c r="Q39" i="18" s="1"/>
  <c r="R39" i="18" s="1"/>
  <c r="S39" i="18" s="1"/>
  <c r="T39" i="18" s="1"/>
  <c r="U39" i="18" s="1"/>
  <c r="V39" i="18" s="1"/>
  <c r="M38" i="18"/>
  <c r="N38" i="18" s="1"/>
  <c r="O38" i="18" s="1"/>
  <c r="P38" i="18" s="1"/>
  <c r="Q38" i="18" s="1"/>
  <c r="R38" i="18" s="1"/>
  <c r="S38" i="18" s="1"/>
  <c r="T38" i="18" s="1"/>
  <c r="U38" i="18" s="1"/>
  <c r="V38" i="18" s="1"/>
  <c r="M37" i="18"/>
  <c r="N37" i="18" s="1"/>
  <c r="O37" i="18" s="1"/>
  <c r="P37" i="18" s="1"/>
  <c r="Q37" i="18" s="1"/>
  <c r="R37" i="18" s="1"/>
  <c r="S37" i="18" s="1"/>
  <c r="T37" i="18" s="1"/>
  <c r="U37" i="18" s="1"/>
  <c r="V37" i="18" s="1"/>
  <c r="M32" i="18"/>
  <c r="N32" i="18" s="1"/>
  <c r="O32" i="18" s="1"/>
  <c r="P32" i="18" s="1"/>
  <c r="Q32" i="18" s="1"/>
  <c r="R32" i="18" s="1"/>
  <c r="S32" i="18" s="1"/>
  <c r="T32" i="18" s="1"/>
  <c r="U32" i="18" s="1"/>
  <c r="V32" i="18" s="1"/>
  <c r="M31" i="18"/>
  <c r="N31" i="18" s="1"/>
  <c r="O31" i="18" s="1"/>
  <c r="P31" i="18" s="1"/>
  <c r="Q31" i="18" s="1"/>
  <c r="R31" i="18" s="1"/>
  <c r="S31" i="18" s="1"/>
  <c r="T31" i="18" s="1"/>
  <c r="U31" i="18" s="1"/>
  <c r="V31" i="18" s="1"/>
  <c r="M30" i="18"/>
  <c r="N30" i="18" s="1"/>
  <c r="O30" i="18" s="1"/>
  <c r="P30" i="18" s="1"/>
  <c r="Q30" i="18" s="1"/>
  <c r="R30" i="18" s="1"/>
  <c r="S30" i="18" s="1"/>
  <c r="T30" i="18" s="1"/>
  <c r="U30" i="18" s="1"/>
  <c r="V30" i="18" s="1"/>
  <c r="M29" i="18"/>
  <c r="N29" i="18" s="1"/>
  <c r="O29" i="18" s="1"/>
  <c r="P29" i="18" s="1"/>
  <c r="Q29" i="18" s="1"/>
  <c r="R29" i="18" s="1"/>
  <c r="S29" i="18" s="1"/>
  <c r="T29" i="18" s="1"/>
  <c r="U29" i="18" s="1"/>
  <c r="V29" i="18" s="1"/>
  <c r="M28" i="18"/>
  <c r="N28" i="18" s="1"/>
  <c r="O28" i="18" s="1"/>
  <c r="P28" i="18" s="1"/>
  <c r="Q28" i="18" s="1"/>
  <c r="R28" i="18" s="1"/>
  <c r="S28" i="18" s="1"/>
  <c r="T28" i="18" s="1"/>
  <c r="U28" i="18" s="1"/>
  <c r="V28" i="18" s="1"/>
  <c r="M8" i="18"/>
  <c r="N8" i="18" s="1"/>
  <c r="O8" i="18" s="1"/>
  <c r="P8" i="18" s="1"/>
  <c r="Q8" i="18" s="1"/>
  <c r="R8" i="18" s="1"/>
  <c r="S8" i="18" s="1"/>
  <c r="T8" i="18" s="1"/>
  <c r="U8" i="18" s="1"/>
  <c r="V8" i="18" s="1"/>
  <c r="M9" i="18"/>
  <c r="N9" i="18"/>
  <c r="O9" i="18" s="1"/>
  <c r="P9" i="18" s="1"/>
  <c r="Q9" i="18" s="1"/>
  <c r="R9" i="18" s="1"/>
  <c r="S9" i="18" s="1"/>
  <c r="T9" i="18" s="1"/>
  <c r="U9" i="18" s="1"/>
  <c r="V9" i="18" s="1"/>
  <c r="M10" i="18"/>
  <c r="N10" i="18" s="1"/>
  <c r="O10" i="18" s="1"/>
  <c r="P10" i="18" s="1"/>
  <c r="Q10" i="18" s="1"/>
  <c r="R10" i="18" s="1"/>
  <c r="S10" i="18" s="1"/>
  <c r="T10" i="18" s="1"/>
  <c r="U10" i="18" s="1"/>
  <c r="V10" i="18" s="1"/>
  <c r="M11" i="18"/>
  <c r="N11" i="18" s="1"/>
  <c r="O11" i="18" s="1"/>
  <c r="P11" i="18" s="1"/>
  <c r="Q11" i="18" s="1"/>
  <c r="R11" i="18" s="1"/>
  <c r="S11" i="18" s="1"/>
  <c r="T11" i="18" s="1"/>
  <c r="U11" i="18" s="1"/>
  <c r="V11" i="18" s="1"/>
  <c r="M12" i="18"/>
  <c r="N12" i="18" s="1"/>
  <c r="O12" i="18" s="1"/>
  <c r="P12" i="18" s="1"/>
  <c r="Q12" i="18" s="1"/>
  <c r="R12" i="18" s="1"/>
  <c r="S12" i="18" s="1"/>
  <c r="T12" i="18" s="1"/>
  <c r="U12" i="18" s="1"/>
  <c r="V12" i="18" s="1"/>
  <c r="G65" i="6"/>
  <c r="I18" i="6"/>
  <c r="B84" i="6"/>
  <c r="C65" i="6"/>
  <c r="B65" i="6"/>
  <c r="B45" i="6"/>
  <c r="C45" i="6"/>
  <c r="C18" i="6"/>
  <c r="H18" i="6"/>
  <c r="B18" i="6"/>
  <c r="F42" i="4"/>
  <c r="D140" i="9" l="1"/>
  <c r="D152" i="9"/>
  <c r="D87" i="12"/>
  <c r="L34" i="12"/>
  <c r="B167" i="3"/>
  <c r="K86" i="12"/>
  <c r="H86" i="12"/>
  <c r="L86" i="12"/>
  <c r="P86" i="12"/>
  <c r="G86" i="12"/>
  <c r="O86" i="12"/>
  <c r="E86" i="12"/>
  <c r="N86" i="12"/>
  <c r="M86" i="12"/>
  <c r="J86" i="12"/>
  <c r="I86" i="12"/>
  <c r="F86" i="12"/>
  <c r="G80" i="12"/>
  <c r="K80" i="12"/>
  <c r="J80" i="12"/>
  <c r="H80" i="12"/>
  <c r="L80" i="12"/>
  <c r="N80" i="12"/>
  <c r="I80" i="12"/>
  <c r="I108" i="12" s="1"/>
  <c r="E80" i="12"/>
  <c r="F80" i="12"/>
  <c r="P80" i="12"/>
  <c r="M80" i="12"/>
  <c r="O80" i="12"/>
  <c r="N87" i="12"/>
  <c r="J87" i="12"/>
  <c r="H87" i="12"/>
  <c r="I88" i="12"/>
  <c r="M88" i="12"/>
  <c r="K88" i="12"/>
  <c r="P88" i="12"/>
  <c r="F88" i="12"/>
  <c r="J88" i="12"/>
  <c r="N88" i="12"/>
  <c r="D88" i="12"/>
  <c r="G88" i="12"/>
  <c r="O88" i="12"/>
  <c r="H88" i="12"/>
  <c r="L88" i="12"/>
  <c r="E88" i="12"/>
  <c r="P87" i="12"/>
  <c r="L87" i="12"/>
  <c r="I87" i="12"/>
  <c r="G87" i="12"/>
  <c r="E87" i="12"/>
  <c r="F87" i="12"/>
  <c r="M87" i="12"/>
  <c r="O87" i="12"/>
  <c r="K87" i="12"/>
  <c r="D24" i="10"/>
  <c r="D47" i="34"/>
  <c r="I9" i="5"/>
  <c r="D21" i="10"/>
  <c r="D35" i="10" s="1"/>
  <c r="D69" i="9"/>
  <c r="F9" i="5"/>
  <c r="E42" i="8"/>
  <c r="J108" i="9"/>
  <c r="I108" i="9"/>
  <c r="M108" i="9"/>
  <c r="M110" i="9"/>
  <c r="K108" i="9"/>
  <c r="I110" i="9"/>
  <c r="H108" i="9"/>
  <c r="L108" i="9"/>
  <c r="G108" i="9"/>
  <c r="K109" i="9"/>
  <c r="H110" i="9"/>
  <c r="M109" i="9"/>
  <c r="H109" i="9"/>
  <c r="J109" i="9"/>
  <c r="I109" i="9"/>
  <c r="J110" i="9"/>
  <c r="G110" i="9"/>
  <c r="G109" i="9"/>
  <c r="L110" i="9"/>
  <c r="K110" i="9"/>
  <c r="L109" i="9"/>
  <c r="G106" i="9"/>
  <c r="K106" i="9"/>
  <c r="I107" i="9"/>
  <c r="E107" i="9"/>
  <c r="I105" i="9"/>
  <c r="H107" i="9"/>
  <c r="H105" i="9"/>
  <c r="H106" i="9"/>
  <c r="F107" i="9"/>
  <c r="J107" i="9"/>
  <c r="F105" i="9"/>
  <c r="J105" i="9"/>
  <c r="J106" i="9"/>
  <c r="E105" i="9"/>
  <c r="I106" i="9"/>
  <c r="G107" i="9"/>
  <c r="K107" i="9"/>
  <c r="G105" i="9"/>
  <c r="K105" i="9"/>
  <c r="F106" i="9"/>
  <c r="E106" i="9"/>
  <c r="I89" i="12"/>
  <c r="M89" i="12"/>
  <c r="H90" i="12"/>
  <c r="L90" i="12"/>
  <c r="P90" i="12"/>
  <c r="F90" i="12"/>
  <c r="I90" i="12"/>
  <c r="G89" i="12"/>
  <c r="M90" i="12"/>
  <c r="K89" i="12"/>
  <c r="N89" i="12"/>
  <c r="L89" i="12"/>
  <c r="O89" i="12"/>
  <c r="O90" i="12"/>
  <c r="N90" i="12"/>
  <c r="P89" i="12"/>
  <c r="F89" i="12"/>
  <c r="K90" i="12"/>
  <c r="J90" i="12"/>
  <c r="J89" i="12"/>
  <c r="G90" i="12"/>
  <c r="H89" i="12"/>
  <c r="E89" i="12"/>
  <c r="E90" i="12"/>
  <c r="J30" i="29"/>
  <c r="K30" i="29"/>
  <c r="L30" i="29"/>
  <c r="M30" i="29"/>
  <c r="D22" i="10"/>
  <c r="D36" i="10" s="1"/>
  <c r="D62" i="10" s="1"/>
  <c r="D72" i="9"/>
  <c r="F42" i="8"/>
  <c r="I10" i="5"/>
  <c r="F47" i="34" s="1"/>
  <c r="B157" i="3"/>
  <c r="L21" i="29"/>
  <c r="J20" i="27"/>
  <c r="J23" i="29"/>
  <c r="F21" i="27"/>
  <c r="P13" i="27"/>
  <c r="B68" i="11" s="1"/>
  <c r="L29" i="29"/>
  <c r="K180" i="27"/>
  <c r="M180" i="27" s="1"/>
  <c r="D94" i="11" s="1"/>
  <c r="C65" i="10"/>
  <c r="D133" i="9"/>
  <c r="D147" i="9"/>
  <c r="E65" i="6"/>
  <c r="Q10" i="27"/>
  <c r="D65" i="11" s="1"/>
  <c r="J24" i="27"/>
  <c r="I20" i="27"/>
  <c r="C27" i="5"/>
  <c r="E27" i="5" s="1"/>
  <c r="H194" i="27"/>
  <c r="J27" i="29"/>
  <c r="I24" i="27"/>
  <c r="G20" i="27"/>
  <c r="G25" i="27" s="1"/>
  <c r="C26" i="29"/>
  <c r="J20" i="29"/>
  <c r="F24" i="27"/>
  <c r="K20" i="27"/>
  <c r="F20" i="27"/>
  <c r="K100" i="27"/>
  <c r="L11" i="27"/>
  <c r="M11" i="27" s="1"/>
  <c r="R25" i="27"/>
  <c r="H41" i="8" s="1"/>
  <c r="C156" i="27"/>
  <c r="K118" i="27"/>
  <c r="D25" i="27"/>
  <c r="N9" i="27"/>
  <c r="O9" i="27"/>
  <c r="Q9" i="27"/>
  <c r="D64" i="11" s="1"/>
  <c r="P9" i="27"/>
  <c r="B64" i="11" s="1"/>
  <c r="J21" i="29"/>
  <c r="O12" i="27"/>
  <c r="N12" i="27"/>
  <c r="K146" i="27"/>
  <c r="F27" i="29"/>
  <c r="G19" i="29"/>
  <c r="F26" i="29"/>
  <c r="D26" i="29"/>
  <c r="C28" i="5"/>
  <c r="O10" i="27"/>
  <c r="N10" i="27"/>
  <c r="F14" i="27"/>
  <c r="R14" i="27"/>
  <c r="N115" i="27"/>
  <c r="E81" i="11" s="1"/>
  <c r="K106" i="27"/>
  <c r="L104" i="27"/>
  <c r="F20" i="29"/>
  <c r="O13" i="27"/>
  <c r="N13" i="27"/>
  <c r="N11" i="27"/>
  <c r="O11" i="27"/>
  <c r="N73" i="27"/>
  <c r="E75" i="11" s="1"/>
  <c r="N71" i="27"/>
  <c r="E73" i="11" s="1"/>
  <c r="H14" i="27"/>
  <c r="J74" i="27"/>
  <c r="H64" i="27"/>
  <c r="H21" i="29"/>
  <c r="I106" i="27"/>
  <c r="M106" i="27" s="1"/>
  <c r="H85" i="11" s="1"/>
  <c r="N105" i="27"/>
  <c r="D84" i="11" s="1"/>
  <c r="N103" i="27"/>
  <c r="D82" i="11" s="1"/>
  <c r="L27" i="29"/>
  <c r="H27" i="29"/>
  <c r="D27" i="29"/>
  <c r="N119" i="27"/>
  <c r="E85" i="11" s="1"/>
  <c r="M27" i="29"/>
  <c r="L20" i="29"/>
  <c r="H20" i="29"/>
  <c r="I117" i="27"/>
  <c r="M117" i="27" s="1"/>
  <c r="I83" i="11" s="1"/>
  <c r="I105" i="27"/>
  <c r="M105" i="27" s="1"/>
  <c r="H84" i="11" s="1"/>
  <c r="E107" i="27"/>
  <c r="M62" i="27"/>
  <c r="H74" i="11" s="1"/>
  <c r="P10" i="27"/>
  <c r="B65" i="11" s="1"/>
  <c r="L9" i="27"/>
  <c r="M9" i="27" s="1"/>
  <c r="E74" i="27"/>
  <c r="N118" i="27"/>
  <c r="E84" i="11" s="1"/>
  <c r="M73" i="27"/>
  <c r="G75" i="11" s="1"/>
  <c r="N70" i="27"/>
  <c r="E72" i="11" s="1"/>
  <c r="N63" i="27"/>
  <c r="B75" i="11" s="1"/>
  <c r="E194" i="27"/>
  <c r="F107" i="27"/>
  <c r="K14" i="27"/>
  <c r="E120" i="27"/>
  <c r="L103" i="27"/>
  <c r="M60" i="27"/>
  <c r="H72" i="11" s="1"/>
  <c r="J14" i="27"/>
  <c r="F148" i="27"/>
  <c r="I118" i="27"/>
  <c r="M118" i="27" s="1"/>
  <c r="I84" i="11" s="1"/>
  <c r="N72" i="27"/>
  <c r="C74" i="11" s="1"/>
  <c r="I74" i="27"/>
  <c r="C25" i="27"/>
  <c r="I64" i="27"/>
  <c r="I14" i="27"/>
  <c r="L117" i="27"/>
  <c r="M29" i="29"/>
  <c r="F194" i="27"/>
  <c r="K28" i="29"/>
  <c r="G28" i="29"/>
  <c r="I101" i="27"/>
  <c r="M101" i="27" s="1"/>
  <c r="H80" i="11" s="1"/>
  <c r="K73" i="27"/>
  <c r="L73" i="27" s="1"/>
  <c r="J64" i="27"/>
  <c r="J22" i="27"/>
  <c r="B25" i="27"/>
  <c r="F74" i="27"/>
  <c r="K101" i="27"/>
  <c r="G194" i="27"/>
  <c r="K21" i="29"/>
  <c r="I21" i="29"/>
  <c r="G21" i="29"/>
  <c r="G120" i="27"/>
  <c r="L114" i="27"/>
  <c r="F28" i="29"/>
  <c r="H107" i="27"/>
  <c r="N102" i="27"/>
  <c r="D81" i="11" s="1"/>
  <c r="K72" i="27"/>
  <c r="L72" i="27" s="1"/>
  <c r="H74" i="27"/>
  <c r="M63" i="27"/>
  <c r="H75" i="11" s="1"/>
  <c r="G64" i="27"/>
  <c r="M61" i="27"/>
  <c r="F73" i="11" s="1"/>
  <c r="D19" i="29"/>
  <c r="I23" i="27"/>
  <c r="I22" i="27"/>
  <c r="J21" i="27"/>
  <c r="K70" i="27"/>
  <c r="L70" i="27" s="1"/>
  <c r="I193" i="27"/>
  <c r="L193" i="27" s="1"/>
  <c r="I97" i="11" s="1"/>
  <c r="M21" i="29"/>
  <c r="I28" i="29"/>
  <c r="B159" i="3"/>
  <c r="G107" i="27"/>
  <c r="M71" i="27"/>
  <c r="I73" i="11" s="1"/>
  <c r="J23" i="27"/>
  <c r="K119" i="27"/>
  <c r="K181" i="27"/>
  <c r="M181" i="27" s="1"/>
  <c r="D95" i="11" s="1"/>
  <c r="E184" i="27"/>
  <c r="I29" i="29"/>
  <c r="E156" i="27"/>
  <c r="G156" i="27"/>
  <c r="M28" i="29"/>
  <c r="L28" i="29"/>
  <c r="J28" i="29"/>
  <c r="H28" i="29"/>
  <c r="I119" i="27"/>
  <c r="M119" i="27" s="1"/>
  <c r="I85" i="11" s="1"/>
  <c r="N117" i="27"/>
  <c r="E83" i="11" s="1"/>
  <c r="H120" i="27"/>
  <c r="D120" i="27"/>
  <c r="N104" i="27"/>
  <c r="D83" i="11" s="1"/>
  <c r="I102" i="27"/>
  <c r="M102" i="27" s="1"/>
  <c r="H81" i="11" s="1"/>
  <c r="G74" i="27"/>
  <c r="E20" i="29"/>
  <c r="B158" i="3"/>
  <c r="M26" i="29"/>
  <c r="K19" i="29"/>
  <c r="J26" i="29"/>
  <c r="E25" i="27"/>
  <c r="F23" i="27"/>
  <c r="F22" i="27"/>
  <c r="I21" i="27"/>
  <c r="C50" i="9"/>
  <c r="D66" i="9"/>
  <c r="D29" i="10"/>
  <c r="D51" i="10" s="1"/>
  <c r="G41" i="8"/>
  <c r="F41" i="8"/>
  <c r="K61" i="27"/>
  <c r="L61" i="27" s="1"/>
  <c r="E64" i="27"/>
  <c r="K63" i="27"/>
  <c r="L63" i="27" s="1"/>
  <c r="I191" i="27"/>
  <c r="J191" i="27" s="1"/>
  <c r="I22" i="29"/>
  <c r="N101" i="27"/>
  <c r="D80" i="11" s="1"/>
  <c r="M72" i="27"/>
  <c r="M70" i="27"/>
  <c r="G72" i="11" s="1"/>
  <c r="N62" i="27"/>
  <c r="B74" i="11" s="1"/>
  <c r="F120" i="27"/>
  <c r="L22" i="29"/>
  <c r="J29" i="29"/>
  <c r="H29" i="29"/>
  <c r="K60" i="27"/>
  <c r="L60" i="27" s="1"/>
  <c r="F64" i="27"/>
  <c r="L101" i="27"/>
  <c r="C29" i="5"/>
  <c r="E29" i="5" s="1"/>
  <c r="C26" i="5"/>
  <c r="E26" i="5" s="1"/>
  <c r="K105" i="27"/>
  <c r="B27" i="29"/>
  <c r="M22" i="29"/>
  <c r="K29" i="29"/>
  <c r="D194" i="27"/>
  <c r="J22" i="29"/>
  <c r="I182" i="27"/>
  <c r="J182" i="27" s="1"/>
  <c r="H156" i="27"/>
  <c r="F156" i="27"/>
  <c r="H22" i="29"/>
  <c r="H148" i="27"/>
  <c r="D148" i="27"/>
  <c r="I115" i="27"/>
  <c r="M115" i="27" s="1"/>
  <c r="I81" i="11" s="1"/>
  <c r="I113" i="27"/>
  <c r="M113" i="27" s="1"/>
  <c r="I79" i="11" s="1"/>
  <c r="N106" i="27"/>
  <c r="D85" i="11" s="1"/>
  <c r="C107" i="27"/>
  <c r="M20" i="29"/>
  <c r="K27" i="29"/>
  <c r="I27" i="29"/>
  <c r="G27" i="29"/>
  <c r="E27" i="29"/>
  <c r="K71" i="27"/>
  <c r="L71" i="27" s="1"/>
  <c r="N61" i="27"/>
  <c r="M19" i="29"/>
  <c r="L26" i="29"/>
  <c r="I26" i="29"/>
  <c r="F19" i="29"/>
  <c r="E26" i="29"/>
  <c r="H24" i="27"/>
  <c r="H23" i="27"/>
  <c r="H22" i="27"/>
  <c r="H21" i="27"/>
  <c r="L116" i="27"/>
  <c r="G14" i="27"/>
  <c r="K102" i="27"/>
  <c r="B20" i="29"/>
  <c r="K22" i="29"/>
  <c r="K192" i="27"/>
  <c r="M192" i="27" s="1"/>
  <c r="E96" i="11" s="1"/>
  <c r="I190" i="27"/>
  <c r="L190" i="27" s="1"/>
  <c r="I94" i="11" s="1"/>
  <c r="H184" i="27"/>
  <c r="F184" i="27"/>
  <c r="E148" i="27"/>
  <c r="G148" i="27"/>
  <c r="I116" i="27"/>
  <c r="J116" i="27" s="1"/>
  <c r="I104" i="27"/>
  <c r="J104" i="27" s="1"/>
  <c r="K20" i="29"/>
  <c r="I20" i="29"/>
  <c r="G20" i="29"/>
  <c r="N60" i="27"/>
  <c r="L19" i="29"/>
  <c r="K26" i="29"/>
  <c r="I19" i="29"/>
  <c r="H26" i="29"/>
  <c r="E19" i="29"/>
  <c r="K24" i="27"/>
  <c r="K23" i="27"/>
  <c r="K22" i="27"/>
  <c r="K21" i="27"/>
  <c r="B41" i="9"/>
  <c r="E84" i="6"/>
  <c r="I155" i="27"/>
  <c r="C184" i="27"/>
  <c r="M23" i="29"/>
  <c r="K23" i="29"/>
  <c r="I183" i="27"/>
  <c r="L183" i="27" s="1"/>
  <c r="H97" i="11" s="1"/>
  <c r="G184" i="27"/>
  <c r="C30" i="5"/>
  <c r="L23" i="29"/>
  <c r="I181" i="27"/>
  <c r="L181" i="27" s="1"/>
  <c r="H95" i="11" s="1"/>
  <c r="K154" i="27"/>
  <c r="M154" i="27" s="1"/>
  <c r="M155" i="27"/>
  <c r="E90" i="11" s="1"/>
  <c r="I154" i="27"/>
  <c r="L154" i="27" s="1"/>
  <c r="I89" i="11" s="1"/>
  <c r="C148" i="27"/>
  <c r="I147" i="27"/>
  <c r="J147" i="27" s="1"/>
  <c r="C66" i="9"/>
  <c r="C194" i="27"/>
  <c r="K191" i="27"/>
  <c r="M191" i="27" s="1"/>
  <c r="E95" i="11" s="1"/>
  <c r="I192" i="27"/>
  <c r="L192" i="27" s="1"/>
  <c r="I96" i="11" s="1"/>
  <c r="K182" i="27"/>
  <c r="M182" i="27" s="1"/>
  <c r="D96" i="11" s="1"/>
  <c r="K190" i="27"/>
  <c r="M190" i="27" s="1"/>
  <c r="E94" i="11" s="1"/>
  <c r="K183" i="27"/>
  <c r="M183" i="27" s="1"/>
  <c r="D97" i="11" s="1"/>
  <c r="I180" i="27"/>
  <c r="I146" i="27"/>
  <c r="L146" i="27" s="1"/>
  <c r="K115" i="27"/>
  <c r="K114" i="27"/>
  <c r="N114" i="27"/>
  <c r="E80" i="11" s="1"/>
  <c r="I114" i="27"/>
  <c r="N100" i="27"/>
  <c r="D79" i="11" s="1"/>
  <c r="I103" i="27"/>
  <c r="M103" i="27" s="1"/>
  <c r="H82" i="11" s="1"/>
  <c r="C120" i="27"/>
  <c r="K113" i="27"/>
  <c r="N113" i="27"/>
  <c r="E79" i="11" s="1"/>
  <c r="I100" i="27"/>
  <c r="J100" i="27" s="1"/>
  <c r="K193" i="27"/>
  <c r="M193" i="27" s="1"/>
  <c r="E97" i="11" s="1"/>
  <c r="D184" i="27"/>
  <c r="K147" i="27"/>
  <c r="M147" i="27" s="1"/>
  <c r="D90" i="11" s="1"/>
  <c r="D156" i="27"/>
  <c r="D107" i="27"/>
  <c r="N116" i="27"/>
  <c r="E82" i="11" s="1"/>
  <c r="K116" i="27"/>
  <c r="K103" i="27"/>
  <c r="L13" i="27"/>
  <c r="M13" i="27" s="1"/>
  <c r="P11" i="27"/>
  <c r="B66" i="11" s="1"/>
  <c r="Q11" i="27"/>
  <c r="D66" i="11" s="1"/>
  <c r="L10" i="27"/>
  <c r="M10" i="27" s="1"/>
  <c r="K62" i="27"/>
  <c r="L62" i="27" s="1"/>
  <c r="L12" i="27"/>
  <c r="M12" i="27" s="1"/>
  <c r="P12" i="27"/>
  <c r="B67" i="11" s="1"/>
  <c r="Q12" i="27"/>
  <c r="D67" i="11" s="1"/>
  <c r="D50" i="9"/>
  <c r="B50" i="9"/>
  <c r="B66" i="9"/>
  <c r="D41" i="9"/>
  <c r="C41" i="9"/>
  <c r="N39" i="12"/>
  <c r="D85" i="8"/>
  <c r="D90" i="8"/>
  <c r="D95" i="8"/>
  <c r="E23" i="10"/>
  <c r="H10" i="5"/>
  <c r="F47" i="8"/>
  <c r="E71" i="9"/>
  <c r="D59" i="12" s="1"/>
  <c r="D72" i="12" s="1"/>
  <c r="G10" i="5"/>
  <c r="E22" i="10"/>
  <c r="E31" i="10" s="1"/>
  <c r="E70" i="9"/>
  <c r="E89" i="9" s="1"/>
  <c r="E47" i="8"/>
  <c r="D23" i="10"/>
  <c r="D70" i="9"/>
  <c r="D71" i="9"/>
  <c r="E69" i="9"/>
  <c r="E84" i="9" s="1"/>
  <c r="F53" i="4"/>
  <c r="F54" i="4" s="1"/>
  <c r="O101" i="11" s="1"/>
  <c r="O34" i="12"/>
  <c r="D69" i="10"/>
  <c r="N34" i="12"/>
  <c r="P34" i="12"/>
  <c r="K34" i="12"/>
  <c r="M34" i="12"/>
  <c r="D98" i="4"/>
  <c r="D99" i="4" s="1"/>
  <c r="D100" i="4" s="1"/>
  <c r="D101" i="4" s="1"/>
  <c r="D102" i="4" s="1"/>
  <c r="D103" i="11" s="1"/>
  <c r="N108" i="12" l="1"/>
  <c r="G108" i="12"/>
  <c r="P108" i="12"/>
  <c r="F108" i="12"/>
  <c r="M108" i="12"/>
  <c r="K108" i="12"/>
  <c r="J108" i="12"/>
  <c r="O108" i="12"/>
  <c r="H108" i="12"/>
  <c r="L108" i="12"/>
  <c r="E108" i="12"/>
  <c r="H39" i="12"/>
  <c r="J39" i="12"/>
  <c r="G39" i="12"/>
  <c r="E39" i="12"/>
  <c r="I39" i="12"/>
  <c r="F39" i="12"/>
  <c r="H33" i="12"/>
  <c r="G33" i="12"/>
  <c r="E33" i="12"/>
  <c r="F33" i="12"/>
  <c r="B166" i="3"/>
  <c r="L38" i="12" s="1"/>
  <c r="P31" i="12"/>
  <c r="B164" i="3"/>
  <c r="I36" i="12" s="1"/>
  <c r="M35" i="12"/>
  <c r="B168" i="3"/>
  <c r="B165" i="3"/>
  <c r="H37" i="12" s="1"/>
  <c r="D117" i="12"/>
  <c r="D125" i="12" s="1"/>
  <c r="N117" i="12"/>
  <c r="J117" i="12"/>
  <c r="F117" i="12"/>
  <c r="G117" i="12"/>
  <c r="K117" i="12"/>
  <c r="I117" i="12"/>
  <c r="O117" i="12"/>
  <c r="L117" i="12"/>
  <c r="H117" i="12"/>
  <c r="M117" i="12"/>
  <c r="E117" i="12"/>
  <c r="P117" i="12"/>
  <c r="D28" i="10"/>
  <c r="D50" i="10" s="1"/>
  <c r="D52" i="10" s="1"/>
  <c r="E47" i="34"/>
  <c r="E24" i="10"/>
  <c r="E72" i="9"/>
  <c r="D60" i="12" s="1"/>
  <c r="E21" i="10"/>
  <c r="F10" i="5"/>
  <c r="M139" i="9"/>
  <c r="J155" i="27"/>
  <c r="L155" i="27"/>
  <c r="G146" i="9"/>
  <c r="G139" i="9"/>
  <c r="I139" i="9"/>
  <c r="J139" i="9"/>
  <c r="E146" i="9"/>
  <c r="E139" i="9"/>
  <c r="K139" i="9"/>
  <c r="F146" i="9"/>
  <c r="F139" i="9"/>
  <c r="H146" i="9"/>
  <c r="H139" i="9"/>
  <c r="L139" i="9"/>
  <c r="D68" i="12"/>
  <c r="K31" i="12"/>
  <c r="F31" i="12"/>
  <c r="I31" i="12"/>
  <c r="F52" i="8"/>
  <c r="E31" i="12"/>
  <c r="L31" i="12"/>
  <c r="N31" i="12"/>
  <c r="J31" i="12"/>
  <c r="G31" i="12"/>
  <c r="H31" i="12"/>
  <c r="O31" i="12"/>
  <c r="M31" i="12"/>
  <c r="I11" i="5"/>
  <c r="G47" i="34" s="1"/>
  <c r="D108" i="11"/>
  <c r="B36" i="29" s="1"/>
  <c r="B51" i="29" s="1"/>
  <c r="F72" i="9"/>
  <c r="E60" i="12" s="1"/>
  <c r="F24" i="10"/>
  <c r="F72" i="11"/>
  <c r="B43" i="29"/>
  <c r="E36" i="10"/>
  <c r="E29" i="10"/>
  <c r="E51" i="10" s="1"/>
  <c r="E77" i="9"/>
  <c r="E79" i="9"/>
  <c r="N101" i="11"/>
  <c r="Q24" i="27"/>
  <c r="E68" i="11" s="1"/>
  <c r="O20" i="27"/>
  <c r="P20" i="27"/>
  <c r="C64" i="11" s="1"/>
  <c r="L20" i="27"/>
  <c r="M20" i="27" s="1"/>
  <c r="N20" i="27"/>
  <c r="I64" i="11" s="1"/>
  <c r="M41" i="8"/>
  <c r="E74" i="11"/>
  <c r="C73" i="11"/>
  <c r="I75" i="11"/>
  <c r="Q20" i="27"/>
  <c r="E64" i="11" s="1"/>
  <c r="J146" i="27"/>
  <c r="J41" i="8"/>
  <c r="J117" i="27"/>
  <c r="L41" i="8"/>
  <c r="Q41" i="8"/>
  <c r="N41" i="8"/>
  <c r="P41" i="8"/>
  <c r="K41" i="8"/>
  <c r="E76" i="11"/>
  <c r="M100" i="27"/>
  <c r="H79" i="11" s="1"/>
  <c r="I41" i="8"/>
  <c r="O41" i="8"/>
  <c r="J101" i="27"/>
  <c r="M116" i="27"/>
  <c r="I82" i="11" s="1"/>
  <c r="D75" i="11"/>
  <c r="Q21" i="27"/>
  <c r="E65" i="11" s="1"/>
  <c r="J106" i="27"/>
  <c r="J105" i="27"/>
  <c r="G73" i="11"/>
  <c r="H73" i="11"/>
  <c r="H76" i="11" s="1"/>
  <c r="O24" i="27"/>
  <c r="O14" i="27"/>
  <c r="F64" i="11"/>
  <c r="H64" i="11"/>
  <c r="F67" i="11"/>
  <c r="D69" i="11"/>
  <c r="C75" i="11"/>
  <c r="O21" i="27"/>
  <c r="C72" i="11"/>
  <c r="F68" i="11"/>
  <c r="H65" i="11"/>
  <c r="F65" i="11"/>
  <c r="O23" i="27"/>
  <c r="Q23" i="27"/>
  <c r="E67" i="11" s="1"/>
  <c r="N74" i="27"/>
  <c r="N21" i="27"/>
  <c r="I65" i="11" s="1"/>
  <c r="H66" i="11"/>
  <c r="F66" i="11"/>
  <c r="D74" i="11"/>
  <c r="N23" i="27"/>
  <c r="G67" i="11" s="1"/>
  <c r="I32" i="12"/>
  <c r="M33" i="12"/>
  <c r="J181" i="27"/>
  <c r="L182" i="27"/>
  <c r="H96" i="11" s="1"/>
  <c r="L107" i="27"/>
  <c r="J46" i="8" s="1"/>
  <c r="N22" i="27"/>
  <c r="O22" i="27"/>
  <c r="N24" i="27"/>
  <c r="I68" i="11" s="1"/>
  <c r="N32" i="12"/>
  <c r="F74" i="11"/>
  <c r="P32" i="12"/>
  <c r="I33" i="12"/>
  <c r="E32" i="12"/>
  <c r="J32" i="12"/>
  <c r="P33" i="12"/>
  <c r="L33" i="12"/>
  <c r="N33" i="12"/>
  <c r="L32" i="12"/>
  <c r="J33" i="12"/>
  <c r="J119" i="27"/>
  <c r="L191" i="27"/>
  <c r="I95" i="11" s="1"/>
  <c r="I98" i="11" s="1"/>
  <c r="F25" i="27"/>
  <c r="F32" i="12"/>
  <c r="M38" i="12"/>
  <c r="M32" i="12"/>
  <c r="I25" i="27"/>
  <c r="G32" i="12"/>
  <c r="O32" i="12"/>
  <c r="O33" i="12"/>
  <c r="K32" i="12"/>
  <c r="H32" i="12"/>
  <c r="F75" i="11"/>
  <c r="J115" i="27"/>
  <c r="M104" i="27"/>
  <c r="H83" i="11" s="1"/>
  <c r="I156" i="27"/>
  <c r="J156" i="27" s="1"/>
  <c r="J154" i="27"/>
  <c r="J118" i="27"/>
  <c r="P23" i="27"/>
  <c r="C67" i="11" s="1"/>
  <c r="I120" i="27"/>
  <c r="J120" i="27" s="1"/>
  <c r="K33" i="12"/>
  <c r="J25" i="27"/>
  <c r="L120" i="27"/>
  <c r="M46" i="8" s="1"/>
  <c r="L23" i="27"/>
  <c r="M23" i="27" s="1"/>
  <c r="J102" i="27"/>
  <c r="I90" i="11"/>
  <c r="I91" i="11" s="1"/>
  <c r="J183" i="27"/>
  <c r="J193" i="27"/>
  <c r="D86" i="11"/>
  <c r="P21" i="27"/>
  <c r="L21" i="27"/>
  <c r="M21" i="27" s="1"/>
  <c r="N14" i="27"/>
  <c r="J113" i="27"/>
  <c r="Q14" i="27"/>
  <c r="K74" i="27"/>
  <c r="L74" i="27" s="1"/>
  <c r="J192" i="27"/>
  <c r="K156" i="27"/>
  <c r="P22" i="27"/>
  <c r="C66" i="11" s="1"/>
  <c r="N64" i="27"/>
  <c r="L22" i="27"/>
  <c r="M22" i="27" s="1"/>
  <c r="M64" i="27"/>
  <c r="E85" i="9"/>
  <c r="P35" i="12"/>
  <c r="O35" i="12"/>
  <c r="N35" i="12"/>
  <c r="O39" i="12"/>
  <c r="K25" i="27"/>
  <c r="B72" i="11"/>
  <c r="K107" i="27"/>
  <c r="J45" i="8" s="1"/>
  <c r="I194" i="27"/>
  <c r="J194" i="27" s="1"/>
  <c r="B73" i="11"/>
  <c r="D73" i="11"/>
  <c r="Q22" i="27"/>
  <c r="E66" i="11" s="1"/>
  <c r="D72" i="11"/>
  <c r="K120" i="27"/>
  <c r="O45" i="8" s="1"/>
  <c r="J190" i="27"/>
  <c r="M74" i="27"/>
  <c r="I72" i="11"/>
  <c r="L24" i="27"/>
  <c r="M24" i="27" s="1"/>
  <c r="P24" i="27"/>
  <c r="C68" i="11" s="1"/>
  <c r="H25" i="27"/>
  <c r="B69" i="11"/>
  <c r="K64" i="27"/>
  <c r="L64" i="27" s="1"/>
  <c r="N107" i="27"/>
  <c r="G74" i="11"/>
  <c r="I74" i="11"/>
  <c r="I148" i="27"/>
  <c r="J148" i="27" s="1"/>
  <c r="I184" i="27"/>
  <c r="J184" i="27" s="1"/>
  <c r="E30" i="5"/>
  <c r="C31" i="5"/>
  <c r="J180" i="27"/>
  <c r="L180" i="27"/>
  <c r="L39" i="12"/>
  <c r="M39" i="12"/>
  <c r="L147" i="27"/>
  <c r="H90" i="11" s="1"/>
  <c r="K194" i="27"/>
  <c r="D98" i="11"/>
  <c r="K184" i="27"/>
  <c r="N46" i="34" s="1"/>
  <c r="M184" i="27"/>
  <c r="I107" i="27"/>
  <c r="J107" i="27" s="1"/>
  <c r="J103" i="27"/>
  <c r="E86" i="11"/>
  <c r="M114" i="27"/>
  <c r="I80" i="11" s="1"/>
  <c r="J114" i="27"/>
  <c r="M194" i="27"/>
  <c r="E98" i="11"/>
  <c r="E89" i="11"/>
  <c r="E91" i="11" s="1"/>
  <c r="M156" i="27"/>
  <c r="M146" i="27"/>
  <c r="K148" i="27"/>
  <c r="L45" i="34" s="1"/>
  <c r="H89" i="11"/>
  <c r="N45" i="8"/>
  <c r="N120" i="27"/>
  <c r="P14" i="27"/>
  <c r="L14" i="27"/>
  <c r="M14" i="27" s="1"/>
  <c r="E76" i="9"/>
  <c r="E87" i="9"/>
  <c r="E86" i="9"/>
  <c r="E88" i="9"/>
  <c r="E78" i="9"/>
  <c r="P39" i="12"/>
  <c r="K39" i="12"/>
  <c r="D68" i="10"/>
  <c r="D70" i="10" s="1"/>
  <c r="D77" i="12"/>
  <c r="D83" i="12"/>
  <c r="E40" i="10"/>
  <c r="F22" i="10"/>
  <c r="F70" i="9"/>
  <c r="F81" i="9" s="1"/>
  <c r="G11" i="5"/>
  <c r="D106" i="11"/>
  <c r="D130" i="11" s="1"/>
  <c r="G47" i="8"/>
  <c r="F71" i="9"/>
  <c r="E59" i="12" s="1"/>
  <c r="F23" i="10"/>
  <c r="H11" i="5"/>
  <c r="H47" i="8" s="1"/>
  <c r="D107" i="11"/>
  <c r="B35" i="29" s="1"/>
  <c r="D57" i="12"/>
  <c r="D66" i="12" s="1"/>
  <c r="D58" i="12"/>
  <c r="D61" i="10"/>
  <c r="D65" i="10" s="1"/>
  <c r="D103" i="4"/>
  <c r="E103" i="11" s="1"/>
  <c r="O38" i="12" l="1"/>
  <c r="K38" i="12"/>
  <c r="G37" i="12"/>
  <c r="I38" i="12"/>
  <c r="P38" i="12"/>
  <c r="J38" i="12"/>
  <c r="B17" i="30"/>
  <c r="D56" i="10"/>
  <c r="D58" i="10" s="1"/>
  <c r="M37" i="12"/>
  <c r="P40" i="12"/>
  <c r="H40" i="12"/>
  <c r="L40" i="12"/>
  <c r="J40" i="12"/>
  <c r="G40" i="12"/>
  <c r="E40" i="12"/>
  <c r="E85" i="12" s="1"/>
  <c r="I40" i="12"/>
  <c r="F40" i="12"/>
  <c r="K40" i="12"/>
  <c r="N38" i="12"/>
  <c r="F38" i="12"/>
  <c r="G38" i="12"/>
  <c r="H38" i="12"/>
  <c r="E38" i="12"/>
  <c r="E83" i="12" s="1"/>
  <c r="O37" i="12"/>
  <c r="P37" i="12"/>
  <c r="B50" i="29"/>
  <c r="H69" i="11"/>
  <c r="B44" i="29"/>
  <c r="D78" i="2"/>
  <c r="N37" i="12"/>
  <c r="E37" i="12"/>
  <c r="K37" i="12"/>
  <c r="F37" i="12"/>
  <c r="L37" i="12"/>
  <c r="J37" i="12"/>
  <c r="I37" i="12"/>
  <c r="D105" i="12"/>
  <c r="E30" i="10"/>
  <c r="E35" i="10"/>
  <c r="E68" i="10" s="1"/>
  <c r="E28" i="10"/>
  <c r="E39" i="10"/>
  <c r="E69" i="10" s="1"/>
  <c r="D74" i="12"/>
  <c r="D78" i="12"/>
  <c r="D73" i="12"/>
  <c r="D84" i="12"/>
  <c r="D69" i="12"/>
  <c r="D79" i="12"/>
  <c r="D85" i="12"/>
  <c r="F11" i="5"/>
  <c r="G42" i="8"/>
  <c r="F21" i="10"/>
  <c r="D105" i="11"/>
  <c r="F69" i="9"/>
  <c r="D129" i="11"/>
  <c r="B28" i="30"/>
  <c r="N125" i="12"/>
  <c r="L28" i="30"/>
  <c r="P125" i="12"/>
  <c r="N28" i="30"/>
  <c r="K125" i="12"/>
  <c r="I28" i="30"/>
  <c r="F125" i="12"/>
  <c r="D28" i="30"/>
  <c r="J125" i="12"/>
  <c r="H28" i="30"/>
  <c r="M125" i="12"/>
  <c r="K28" i="30"/>
  <c r="H125" i="12"/>
  <c r="F28" i="30"/>
  <c r="O125" i="12"/>
  <c r="M28" i="30"/>
  <c r="G125" i="12"/>
  <c r="E28" i="30"/>
  <c r="L125" i="12"/>
  <c r="J28" i="30"/>
  <c r="E125" i="12"/>
  <c r="C28" i="30"/>
  <c r="I125" i="12"/>
  <c r="G28" i="30"/>
  <c r="G64" i="11"/>
  <c r="I67" i="11"/>
  <c r="G65" i="11"/>
  <c r="E72" i="12"/>
  <c r="E68" i="12"/>
  <c r="E74" i="12"/>
  <c r="E69" i="12"/>
  <c r="E73" i="12"/>
  <c r="O46" i="34"/>
  <c r="Q46" i="34"/>
  <c r="P46" i="34"/>
  <c r="O45" i="34"/>
  <c r="Q45" i="34"/>
  <c r="N45" i="34"/>
  <c r="M45" i="34"/>
  <c r="P45" i="34"/>
  <c r="C14" i="30"/>
  <c r="E79" i="12"/>
  <c r="E84" i="12"/>
  <c r="G36" i="12"/>
  <c r="N36" i="12"/>
  <c r="O36" i="12"/>
  <c r="D113" i="11"/>
  <c r="D114" i="11"/>
  <c r="B62" i="29"/>
  <c r="J36" i="12"/>
  <c r="H36" i="12"/>
  <c r="P36" i="12"/>
  <c r="K36" i="12"/>
  <c r="F36" i="12"/>
  <c r="M36" i="12"/>
  <c r="L36" i="12"/>
  <c r="E36" i="12"/>
  <c r="F88" i="8"/>
  <c r="F83" i="8"/>
  <c r="F93" i="8"/>
  <c r="E90" i="8"/>
  <c r="E85" i="8"/>
  <c r="E95" i="8"/>
  <c r="E78" i="12"/>
  <c r="G24" i="10"/>
  <c r="I12" i="5"/>
  <c r="H47" i="34" s="1"/>
  <c r="G72" i="9"/>
  <c r="F60" i="12" s="1"/>
  <c r="E108" i="11"/>
  <c r="C36" i="29" s="1"/>
  <c r="L194" i="27"/>
  <c r="B15" i="30"/>
  <c r="B61" i="29"/>
  <c r="D70" i="12"/>
  <c r="D148" i="11"/>
  <c r="F31" i="10"/>
  <c r="F29" i="10"/>
  <c r="F36" i="10"/>
  <c r="F79" i="9"/>
  <c r="F77" i="9"/>
  <c r="M107" i="27"/>
  <c r="M45" i="8"/>
  <c r="L45" i="8"/>
  <c r="C76" i="11"/>
  <c r="G76" i="11"/>
  <c r="L184" i="27"/>
  <c r="I86" i="11"/>
  <c r="Q25" i="27"/>
  <c r="Q45" i="8"/>
  <c r="K45" i="8"/>
  <c r="B76" i="11"/>
  <c r="H91" i="11"/>
  <c r="H86" i="11"/>
  <c r="O25" i="27"/>
  <c r="F69" i="11"/>
  <c r="F76" i="11"/>
  <c r="D123" i="11" s="1"/>
  <c r="P25" i="27"/>
  <c r="O46" i="8"/>
  <c r="C65" i="11"/>
  <c r="Q46" i="8"/>
  <c r="K46" i="8"/>
  <c r="N46" i="8"/>
  <c r="P46" i="8"/>
  <c r="E69" i="11"/>
  <c r="L46" i="8"/>
  <c r="L156" i="27"/>
  <c r="G68" i="11"/>
  <c r="P45" i="8"/>
  <c r="H94" i="11"/>
  <c r="H98" i="11" s="1"/>
  <c r="N40" i="12"/>
  <c r="M40" i="12"/>
  <c r="O40" i="12"/>
  <c r="I66" i="11"/>
  <c r="G66" i="11"/>
  <c r="N25" i="27"/>
  <c r="L25" i="27"/>
  <c r="M25" i="27" s="1"/>
  <c r="M120" i="27"/>
  <c r="I76" i="11"/>
  <c r="D76" i="11"/>
  <c r="L148" i="27"/>
  <c r="D26" i="5"/>
  <c r="D29" i="5"/>
  <c r="D28" i="5"/>
  <c r="D30" i="5"/>
  <c r="D27" i="5"/>
  <c r="E31" i="5"/>
  <c r="F30" i="5" s="1"/>
  <c r="D89" i="11"/>
  <c r="D91" i="11" s="1"/>
  <c r="M148" i="27"/>
  <c r="E150" i="9"/>
  <c r="E143" i="9"/>
  <c r="E126" i="9"/>
  <c r="E137" i="9"/>
  <c r="E62" i="10"/>
  <c r="E132" i="9"/>
  <c r="E131" i="9"/>
  <c r="D75" i="12"/>
  <c r="D81" i="12"/>
  <c r="E77" i="12"/>
  <c r="E58" i="12"/>
  <c r="F83" i="9"/>
  <c r="F89" i="9"/>
  <c r="F85" i="9"/>
  <c r="F87" i="9"/>
  <c r="E144" i="9"/>
  <c r="D76" i="12"/>
  <c r="D82" i="12"/>
  <c r="D67" i="12"/>
  <c r="D71" i="12"/>
  <c r="B49" i="29"/>
  <c r="B42" i="29"/>
  <c r="F40" i="10"/>
  <c r="E138" i="9"/>
  <c r="E151" i="9"/>
  <c r="E127" i="9"/>
  <c r="E107" i="11"/>
  <c r="C35" i="29" s="1"/>
  <c r="G23" i="10"/>
  <c r="H12" i="5"/>
  <c r="G71" i="9"/>
  <c r="F59" i="12" s="1"/>
  <c r="D136" i="11"/>
  <c r="B34" i="29"/>
  <c r="D141" i="11"/>
  <c r="D117" i="11"/>
  <c r="D119" i="11"/>
  <c r="D153" i="11"/>
  <c r="E106" i="11"/>
  <c r="E129" i="11" s="1"/>
  <c r="G12" i="5"/>
  <c r="G22" i="10"/>
  <c r="G70" i="9"/>
  <c r="G81" i="9" s="1"/>
  <c r="D104" i="4"/>
  <c r="F103" i="11" s="1"/>
  <c r="D115" i="12" l="1"/>
  <c r="D107" i="12"/>
  <c r="E107" i="12"/>
  <c r="I69" i="11"/>
  <c r="E140" i="9"/>
  <c r="E78" i="2"/>
  <c r="D123" i="12"/>
  <c r="D124" i="12"/>
  <c r="D116" i="12"/>
  <c r="E50" i="10"/>
  <c r="E52" i="10" s="1"/>
  <c r="D106" i="12"/>
  <c r="E61" i="10"/>
  <c r="E65" i="10" s="1"/>
  <c r="E70" i="10"/>
  <c r="E56" i="10"/>
  <c r="C17" i="30"/>
  <c r="F39" i="10"/>
  <c r="F69" i="10" s="1"/>
  <c r="F35" i="10"/>
  <c r="F68" i="10" s="1"/>
  <c r="F28" i="10"/>
  <c r="F56" i="10" s="1"/>
  <c r="F30" i="10"/>
  <c r="F57" i="10" s="1"/>
  <c r="G52" i="8"/>
  <c r="F86" i="9"/>
  <c r="F78" i="9"/>
  <c r="F84" i="9"/>
  <c r="F82" i="9"/>
  <c r="F80" i="9"/>
  <c r="F76" i="9"/>
  <c r="F88" i="9"/>
  <c r="E57" i="12"/>
  <c r="F12" i="5"/>
  <c r="G21" i="10"/>
  <c r="G69" i="9"/>
  <c r="E105" i="11"/>
  <c r="E152" i="11" s="1"/>
  <c r="H42" i="8"/>
  <c r="E57" i="10"/>
  <c r="C18" i="30"/>
  <c r="D103" i="12"/>
  <c r="D112" i="11"/>
  <c r="D140" i="11"/>
  <c r="D116" i="11"/>
  <c r="D115" i="11"/>
  <c r="B33" i="29"/>
  <c r="D134" i="11"/>
  <c r="D118" i="11"/>
  <c r="D128" i="11"/>
  <c r="D135" i="11"/>
  <c r="E148" i="11"/>
  <c r="E130" i="11"/>
  <c r="D69" i="2"/>
  <c r="D122" i="11"/>
  <c r="D183" i="11" s="1"/>
  <c r="F68" i="12"/>
  <c r="F72" i="12"/>
  <c r="F69" i="12"/>
  <c r="F74" i="12"/>
  <c r="F73" i="12"/>
  <c r="E71" i="12"/>
  <c r="E67" i="12"/>
  <c r="E106" i="12"/>
  <c r="D104" i="12"/>
  <c r="D58" i="2" s="1"/>
  <c r="E105" i="12"/>
  <c r="D189" i="11"/>
  <c r="D168" i="11"/>
  <c r="E114" i="11"/>
  <c r="E113" i="11"/>
  <c r="F90" i="8"/>
  <c r="F85" i="8"/>
  <c r="F95" i="8"/>
  <c r="C44" i="29"/>
  <c r="C50" i="29"/>
  <c r="C43" i="29"/>
  <c r="C51" i="29"/>
  <c r="F84" i="12"/>
  <c r="F78" i="12"/>
  <c r="F85" i="12"/>
  <c r="F79" i="12"/>
  <c r="H72" i="9"/>
  <c r="G60" i="12" s="1"/>
  <c r="I13" i="5"/>
  <c r="I47" i="34" s="1"/>
  <c r="H24" i="10"/>
  <c r="F108" i="11"/>
  <c r="D36" i="29" s="1"/>
  <c r="B23" i="30"/>
  <c r="B24" i="30"/>
  <c r="D152" i="11"/>
  <c r="G31" i="10"/>
  <c r="G29" i="10"/>
  <c r="G36" i="10"/>
  <c r="G79" i="9"/>
  <c r="G77" i="9"/>
  <c r="D147" i="11"/>
  <c r="D207" i="11" s="1"/>
  <c r="D124" i="11"/>
  <c r="D125" i="11"/>
  <c r="G69" i="11"/>
  <c r="C69" i="11"/>
  <c r="D35" i="5"/>
  <c r="F61" i="12" s="1"/>
  <c r="F26" i="5"/>
  <c r="F27" i="5"/>
  <c r="F29" i="5"/>
  <c r="F28" i="5"/>
  <c r="D31" i="5"/>
  <c r="A35" i="5"/>
  <c r="B35" i="5"/>
  <c r="D61" i="12" s="1"/>
  <c r="C35" i="5"/>
  <c r="E61" i="12" s="1"/>
  <c r="E128" i="9"/>
  <c r="E152" i="9"/>
  <c r="E133" i="9"/>
  <c r="D59" i="2"/>
  <c r="G89" i="9"/>
  <c r="G87" i="9"/>
  <c r="G85" i="9"/>
  <c r="F58" i="12"/>
  <c r="G83" i="9"/>
  <c r="F106" i="11"/>
  <c r="F123" i="11" s="1"/>
  <c r="G13" i="5"/>
  <c r="H70" i="9"/>
  <c r="H81" i="9" s="1"/>
  <c r="H22" i="10"/>
  <c r="E35" i="5"/>
  <c r="G61" i="12" s="1"/>
  <c r="F51" i="10"/>
  <c r="E141" i="11"/>
  <c r="C34" i="29"/>
  <c r="E153" i="11"/>
  <c r="E119" i="11"/>
  <c r="E117" i="11"/>
  <c r="E125" i="11"/>
  <c r="E136" i="11"/>
  <c r="D196" i="11"/>
  <c r="C42" i="29"/>
  <c r="C49" i="29"/>
  <c r="E76" i="12"/>
  <c r="E82" i="12"/>
  <c r="E123" i="11"/>
  <c r="E147" i="9"/>
  <c r="F83" i="12"/>
  <c r="F77" i="12"/>
  <c r="F144" i="9"/>
  <c r="F132" i="9"/>
  <c r="D121" i="12"/>
  <c r="D113" i="12"/>
  <c r="G40" i="10"/>
  <c r="B48" i="29"/>
  <c r="B41" i="29"/>
  <c r="F107" i="11"/>
  <c r="D35" i="29" s="1"/>
  <c r="H13" i="5"/>
  <c r="H71" i="9"/>
  <c r="G59" i="12" s="1"/>
  <c r="H23" i="10"/>
  <c r="H37" i="10" s="1"/>
  <c r="I47" i="8"/>
  <c r="I63" i="8" s="1"/>
  <c r="F62" i="10"/>
  <c r="B60" i="29"/>
  <c r="E69" i="2" s="1"/>
  <c r="D122" i="12"/>
  <c r="D114" i="12"/>
  <c r="D105" i="4"/>
  <c r="D106" i="4" s="1"/>
  <c r="D77" i="2" l="1"/>
  <c r="F107" i="12"/>
  <c r="E196" i="11"/>
  <c r="D18" i="30"/>
  <c r="E122" i="11"/>
  <c r="D21" i="30" s="1"/>
  <c r="C19" i="30"/>
  <c r="G8" i="39"/>
  <c r="F151" i="9"/>
  <c r="F78" i="2"/>
  <c r="D17" i="30"/>
  <c r="D109" i="12"/>
  <c r="C15" i="30"/>
  <c r="F150" i="9"/>
  <c r="E58" i="10"/>
  <c r="D203" i="11"/>
  <c r="C16" i="30"/>
  <c r="C20" i="30"/>
  <c r="F137" i="9"/>
  <c r="F70" i="10"/>
  <c r="D61" i="2"/>
  <c r="F126" i="9"/>
  <c r="F138" i="9"/>
  <c r="E124" i="11"/>
  <c r="D60" i="2"/>
  <c r="D70" i="2"/>
  <c r="F127" i="9"/>
  <c r="E147" i="11"/>
  <c r="E207" i="11" s="1"/>
  <c r="D179" i="11"/>
  <c r="F61" i="10"/>
  <c r="F65" i="10" s="1"/>
  <c r="B40" i="29"/>
  <c r="B47" i="29"/>
  <c r="D167" i="11"/>
  <c r="H52" i="8"/>
  <c r="F13" i="5"/>
  <c r="F35" i="5" s="1"/>
  <c r="H61" i="12" s="1"/>
  <c r="H21" i="10"/>
  <c r="I42" i="8"/>
  <c r="F105" i="11"/>
  <c r="F124" i="11" s="1"/>
  <c r="H69" i="9"/>
  <c r="D178" i="11"/>
  <c r="D202" i="11"/>
  <c r="D188" i="11"/>
  <c r="D192" i="11" s="1"/>
  <c r="E112" i="11"/>
  <c r="E140" i="11"/>
  <c r="E115" i="11"/>
  <c r="E116" i="11"/>
  <c r="E134" i="11"/>
  <c r="C33" i="29"/>
  <c r="E128" i="11"/>
  <c r="E135" i="11"/>
  <c r="E118" i="11"/>
  <c r="E66" i="12"/>
  <c r="E113" i="12" s="1"/>
  <c r="E75" i="12"/>
  <c r="E70" i="12"/>
  <c r="E114" i="12" s="1"/>
  <c r="F50" i="10"/>
  <c r="F52" i="10" s="1"/>
  <c r="B67" i="29"/>
  <c r="F57" i="12"/>
  <c r="G80" i="9"/>
  <c r="G86" i="9"/>
  <c r="G82" i="9"/>
  <c r="G78" i="9"/>
  <c r="G88" i="9"/>
  <c r="G84" i="9"/>
  <c r="G76" i="9"/>
  <c r="E81" i="12"/>
  <c r="I57" i="34"/>
  <c r="I54" i="34"/>
  <c r="I52" i="34"/>
  <c r="I56" i="34"/>
  <c r="I55" i="34"/>
  <c r="I53" i="34"/>
  <c r="I51" i="34"/>
  <c r="G30" i="10"/>
  <c r="E18" i="30" s="1"/>
  <c r="G39" i="10"/>
  <c r="G69" i="10" s="1"/>
  <c r="G28" i="10"/>
  <c r="G56" i="10" s="1"/>
  <c r="G35" i="10"/>
  <c r="G68" i="10" s="1"/>
  <c r="F131" i="9"/>
  <c r="F133" i="9" s="1"/>
  <c r="F143" i="9"/>
  <c r="F147" i="9" s="1"/>
  <c r="G88" i="8"/>
  <c r="G90" i="8" s="1"/>
  <c r="D14" i="30"/>
  <c r="G83" i="8"/>
  <c r="G93" i="8"/>
  <c r="G95" i="8" s="1"/>
  <c r="F130" i="11"/>
  <c r="F129" i="11"/>
  <c r="D174" i="11"/>
  <c r="C21" i="30"/>
  <c r="D173" i="11"/>
  <c r="I64" i="8"/>
  <c r="D208" i="11"/>
  <c r="D209" i="11" s="1"/>
  <c r="G68" i="12"/>
  <c r="G72" i="12"/>
  <c r="G74" i="12"/>
  <c r="G73" i="12"/>
  <c r="G69" i="12"/>
  <c r="F67" i="12"/>
  <c r="F71" i="12"/>
  <c r="E104" i="12"/>
  <c r="F105" i="12"/>
  <c r="F106" i="12"/>
  <c r="E61" i="2"/>
  <c r="E80" i="2" s="1"/>
  <c r="D118" i="12"/>
  <c r="D126" i="12"/>
  <c r="E70" i="2"/>
  <c r="E60" i="2"/>
  <c r="E79" i="2" s="1"/>
  <c r="E168" i="11"/>
  <c r="E189" i="11"/>
  <c r="F148" i="11"/>
  <c r="F114" i="11"/>
  <c r="F113" i="11"/>
  <c r="C61" i="29"/>
  <c r="F58" i="10"/>
  <c r="D51" i="29"/>
  <c r="D43" i="29"/>
  <c r="D44" i="29"/>
  <c r="D50" i="29"/>
  <c r="G84" i="12"/>
  <c r="G79" i="12"/>
  <c r="G78" i="12"/>
  <c r="G85" i="12"/>
  <c r="I14" i="5"/>
  <c r="J47" i="34" s="1"/>
  <c r="I72" i="9"/>
  <c r="G108" i="11"/>
  <c r="E36" i="29" s="1"/>
  <c r="I24" i="10"/>
  <c r="C62" i="29"/>
  <c r="E174" i="11"/>
  <c r="D22" i="30"/>
  <c r="C22" i="30"/>
  <c r="H31" i="10"/>
  <c r="H29" i="10"/>
  <c r="H36" i="10"/>
  <c r="H77" i="9"/>
  <c r="H79" i="9"/>
  <c r="E208" i="11"/>
  <c r="D195" i="11"/>
  <c r="D199" i="11" s="1"/>
  <c r="D184" i="11"/>
  <c r="F122" i="11"/>
  <c r="C60" i="29"/>
  <c r="B59" i="29"/>
  <c r="E39" i="5"/>
  <c r="G62" i="12" s="1"/>
  <c r="A39" i="5"/>
  <c r="C39" i="5"/>
  <c r="E62" i="12" s="1"/>
  <c r="F31" i="5"/>
  <c r="B39" i="5"/>
  <c r="D62" i="12" s="1"/>
  <c r="D39" i="5"/>
  <c r="F62" i="12" s="1"/>
  <c r="D68" i="2"/>
  <c r="D42" i="29"/>
  <c r="D49" i="29"/>
  <c r="G51" i="10"/>
  <c r="D67" i="2"/>
  <c r="D57" i="2"/>
  <c r="H40" i="10"/>
  <c r="E59" i="2"/>
  <c r="H41" i="10"/>
  <c r="H89" i="9"/>
  <c r="H87" i="9"/>
  <c r="H85" i="9"/>
  <c r="H83" i="9"/>
  <c r="G58" i="12"/>
  <c r="G77" i="12"/>
  <c r="G83" i="12"/>
  <c r="G62" i="10"/>
  <c r="I70" i="9"/>
  <c r="I81" i="9" s="1"/>
  <c r="G106" i="11"/>
  <c r="I22" i="10"/>
  <c r="G14" i="5"/>
  <c r="F76" i="12"/>
  <c r="F82" i="12"/>
  <c r="G132" i="9"/>
  <c r="G144" i="9"/>
  <c r="I71" i="9"/>
  <c r="G107" i="11"/>
  <c r="E35" i="29" s="1"/>
  <c r="I23" i="10"/>
  <c r="I37" i="10" s="1"/>
  <c r="J47" i="8"/>
  <c r="H14" i="5"/>
  <c r="C41" i="29"/>
  <c r="C48" i="29"/>
  <c r="F136" i="11"/>
  <c r="F119" i="11"/>
  <c r="F117" i="11"/>
  <c r="F141" i="11"/>
  <c r="F125" i="11"/>
  <c r="F153" i="11"/>
  <c r="D34" i="29"/>
  <c r="G103" i="11"/>
  <c r="D107" i="4"/>
  <c r="H103" i="11"/>
  <c r="D80" i="2" l="1"/>
  <c r="D79" i="2"/>
  <c r="G107" i="12"/>
  <c r="E183" i="11"/>
  <c r="B58" i="29"/>
  <c r="B63" i="29" s="1"/>
  <c r="E173" i="11"/>
  <c r="E209" i="11"/>
  <c r="I105" i="34"/>
  <c r="I107" i="34" s="1"/>
  <c r="I97" i="34"/>
  <c r="I94" i="8"/>
  <c r="F152" i="9"/>
  <c r="G10" i="37"/>
  <c r="G11" i="37" s="1"/>
  <c r="G31" i="37" s="1"/>
  <c r="F140" i="9"/>
  <c r="D175" i="11"/>
  <c r="B66" i="29"/>
  <c r="E184" i="11"/>
  <c r="E185" i="11" s="1"/>
  <c r="C27" i="30"/>
  <c r="F6" i="30"/>
  <c r="G78" i="2"/>
  <c r="C25" i="30"/>
  <c r="E116" i="12"/>
  <c r="E124" i="12"/>
  <c r="E203" i="11"/>
  <c r="E179" i="11"/>
  <c r="D16" i="30"/>
  <c r="C26" i="30"/>
  <c r="E115" i="12"/>
  <c r="E123" i="12"/>
  <c r="D72" i="2"/>
  <c r="D63" i="2"/>
  <c r="C23" i="30"/>
  <c r="E122" i="12"/>
  <c r="D204" i="11"/>
  <c r="D20" i="30"/>
  <c r="E188" i="11"/>
  <c r="E192" i="11" s="1"/>
  <c r="G126" i="9"/>
  <c r="G127" i="9"/>
  <c r="C24" i="30"/>
  <c r="D15" i="30"/>
  <c r="D19" i="30"/>
  <c r="G150" i="9"/>
  <c r="E178" i="11"/>
  <c r="G50" i="10"/>
  <c r="G52" i="10" s="1"/>
  <c r="F128" i="9"/>
  <c r="G138" i="9"/>
  <c r="G137" i="9"/>
  <c r="F39" i="5"/>
  <c r="H62" i="12" s="1"/>
  <c r="G151" i="9"/>
  <c r="E195" i="11"/>
  <c r="E199" i="11" s="1"/>
  <c r="G57" i="10"/>
  <c r="E121" i="12"/>
  <c r="G70" i="10"/>
  <c r="F66" i="12"/>
  <c r="F113" i="12" s="1"/>
  <c r="F70" i="12"/>
  <c r="D24" i="30" s="1"/>
  <c r="F75" i="12"/>
  <c r="F81" i="12"/>
  <c r="E103" i="12"/>
  <c r="C40" i="29"/>
  <c r="C47" i="29"/>
  <c r="F115" i="11"/>
  <c r="F128" i="11"/>
  <c r="D33" i="29"/>
  <c r="F134" i="11"/>
  <c r="F112" i="11"/>
  <c r="F140" i="11"/>
  <c r="F135" i="11"/>
  <c r="F147" i="11"/>
  <c r="F152" i="11"/>
  <c r="F208" i="11" s="1"/>
  <c r="F118" i="11"/>
  <c r="F116" i="11"/>
  <c r="J57" i="34"/>
  <c r="J55" i="34"/>
  <c r="J52" i="34"/>
  <c r="J56" i="34"/>
  <c r="J54" i="34"/>
  <c r="J53" i="34"/>
  <c r="J51" i="34"/>
  <c r="G85" i="8"/>
  <c r="G143" i="9"/>
  <c r="G147" i="9" s="1"/>
  <c r="G131" i="9"/>
  <c r="G133" i="9" s="1"/>
  <c r="E167" i="11"/>
  <c r="E169" i="11" s="1"/>
  <c r="I52" i="8"/>
  <c r="G61" i="10"/>
  <c r="G65" i="10" s="1"/>
  <c r="H39" i="10"/>
  <c r="H69" i="10" s="1"/>
  <c r="H28" i="10"/>
  <c r="F17" i="30" s="1"/>
  <c r="H30" i="10"/>
  <c r="H35" i="10"/>
  <c r="H83" i="8"/>
  <c r="H93" i="8"/>
  <c r="H95" i="8" s="1"/>
  <c r="E14" i="30"/>
  <c r="H88" i="8"/>
  <c r="H90" i="8" s="1"/>
  <c r="E202" i="11"/>
  <c r="H78" i="9"/>
  <c r="H80" i="9"/>
  <c r="H88" i="9"/>
  <c r="G57" i="12"/>
  <c r="H84" i="9"/>
  <c r="H76" i="9"/>
  <c r="H86" i="9"/>
  <c r="H82" i="9"/>
  <c r="F14" i="5"/>
  <c r="I21" i="10"/>
  <c r="G105" i="11"/>
  <c r="G122" i="11" s="1"/>
  <c r="J42" i="8"/>
  <c r="I69" i="9"/>
  <c r="E17" i="30"/>
  <c r="F184" i="11"/>
  <c r="G130" i="11"/>
  <c r="G129" i="11"/>
  <c r="F69" i="2"/>
  <c r="J69" i="8"/>
  <c r="J63" i="8"/>
  <c r="J64" i="8"/>
  <c r="I84" i="8"/>
  <c r="G5" i="39"/>
  <c r="D180" i="11"/>
  <c r="D185" i="11"/>
  <c r="G67" i="12"/>
  <c r="G71" i="12"/>
  <c r="F104" i="12"/>
  <c r="G106" i="12"/>
  <c r="G105" i="12"/>
  <c r="F60" i="2"/>
  <c r="F79" i="2" s="1"/>
  <c r="F61" i="2"/>
  <c r="F80" i="2" s="1"/>
  <c r="B29" i="30"/>
  <c r="F168" i="11"/>
  <c r="F189" i="11"/>
  <c r="G114" i="11"/>
  <c r="G113" i="11"/>
  <c r="D61" i="29"/>
  <c r="H108" i="11"/>
  <c r="F36" i="29" s="1"/>
  <c r="J24" i="10"/>
  <c r="J72" i="9"/>
  <c r="I15" i="5"/>
  <c r="K47" i="34" s="1"/>
  <c r="G35" i="5"/>
  <c r="I61" i="12" s="1"/>
  <c r="E51" i="29"/>
  <c r="E44" i="29"/>
  <c r="E50" i="29"/>
  <c r="E43" i="29"/>
  <c r="G39" i="5"/>
  <c r="I62" i="12" s="1"/>
  <c r="F70" i="2"/>
  <c r="H60" i="12"/>
  <c r="I97" i="9"/>
  <c r="I94" i="9"/>
  <c r="D62" i="29"/>
  <c r="F173" i="11"/>
  <c r="E21" i="30"/>
  <c r="E22" i="30"/>
  <c r="H57" i="10"/>
  <c r="E175" i="11"/>
  <c r="I31" i="10"/>
  <c r="I29" i="10"/>
  <c r="I36" i="10"/>
  <c r="I79" i="9"/>
  <c r="I77" i="9"/>
  <c r="F183" i="11"/>
  <c r="D169" i="11"/>
  <c r="C67" i="29"/>
  <c r="D60" i="29"/>
  <c r="G69" i="2" s="1"/>
  <c r="E58" i="2"/>
  <c r="H63" i="10"/>
  <c r="G148" i="11"/>
  <c r="G123" i="11"/>
  <c r="J67" i="8"/>
  <c r="G8" i="30" s="1"/>
  <c r="J66" i="8"/>
  <c r="G7" i="30" s="1"/>
  <c r="J54" i="8"/>
  <c r="J65" i="8"/>
  <c r="F196" i="11"/>
  <c r="H106" i="11"/>
  <c r="J70" i="9"/>
  <c r="J81" i="9" s="1"/>
  <c r="G15" i="5"/>
  <c r="J22" i="10"/>
  <c r="H68" i="10"/>
  <c r="H62" i="10"/>
  <c r="I41" i="10"/>
  <c r="H51" i="10"/>
  <c r="D76" i="2"/>
  <c r="C59" i="29"/>
  <c r="C66" i="29"/>
  <c r="E49" i="29"/>
  <c r="E42" i="29"/>
  <c r="F174" i="11"/>
  <c r="E34" i="29"/>
  <c r="G136" i="11"/>
  <c r="G119" i="11"/>
  <c r="G117" i="11"/>
  <c r="G141" i="11"/>
  <c r="G125" i="11"/>
  <c r="G153" i="11"/>
  <c r="H144" i="9"/>
  <c r="H132" i="9"/>
  <c r="E68" i="2"/>
  <c r="I40" i="10"/>
  <c r="D41" i="29"/>
  <c r="D48" i="29"/>
  <c r="F59" i="2"/>
  <c r="H15" i="5"/>
  <c r="J23" i="10"/>
  <c r="J37" i="10" s="1"/>
  <c r="J71" i="9"/>
  <c r="K47" i="8"/>
  <c r="H107" i="11"/>
  <c r="H149" i="11" s="1"/>
  <c r="H59" i="12"/>
  <c r="I96" i="9"/>
  <c r="I93" i="9"/>
  <c r="H58" i="12"/>
  <c r="I87" i="9"/>
  <c r="I89" i="9"/>
  <c r="I83" i="9"/>
  <c r="I85" i="9"/>
  <c r="G82" i="12"/>
  <c r="G76" i="12"/>
  <c r="I103" i="11"/>
  <c r="D108" i="4"/>
  <c r="E77" i="2" l="1"/>
  <c r="D82" i="2"/>
  <c r="J94" i="8"/>
  <c r="B68" i="29"/>
  <c r="E204" i="11"/>
  <c r="F202" i="11"/>
  <c r="J97" i="34"/>
  <c r="J105" i="34"/>
  <c r="J107" i="34" s="1"/>
  <c r="B31" i="30"/>
  <c r="B32" i="30" s="1"/>
  <c r="D65" i="2"/>
  <c r="H10" i="37"/>
  <c r="H11" i="37" s="1"/>
  <c r="H31" i="37" s="1"/>
  <c r="H39" i="37" s="1"/>
  <c r="G140" i="9"/>
  <c r="D27" i="30"/>
  <c r="E180" i="11"/>
  <c r="F178" i="11"/>
  <c r="G6" i="30"/>
  <c r="H8" i="39"/>
  <c r="D23" i="30"/>
  <c r="G58" i="10"/>
  <c r="H151" i="9"/>
  <c r="F124" i="12"/>
  <c r="F116" i="12"/>
  <c r="D25" i="30"/>
  <c r="F123" i="12"/>
  <c r="D26" i="30"/>
  <c r="F115" i="12"/>
  <c r="G152" i="9"/>
  <c r="G128" i="9"/>
  <c r="F121" i="12"/>
  <c r="C29" i="30"/>
  <c r="F114" i="12"/>
  <c r="E67" i="2"/>
  <c r="E118" i="12"/>
  <c r="E126" i="12"/>
  <c r="F203" i="11"/>
  <c r="E15" i="30"/>
  <c r="G9" i="30"/>
  <c r="H127" i="9"/>
  <c r="E16" i="30"/>
  <c r="H126" i="9"/>
  <c r="F122" i="12"/>
  <c r="F179" i="11"/>
  <c r="F180" i="11" s="1"/>
  <c r="H56" i="10"/>
  <c r="F103" i="12"/>
  <c r="E20" i="30"/>
  <c r="H150" i="9"/>
  <c r="H137" i="9"/>
  <c r="G147" i="11"/>
  <c r="G207" i="11" s="1"/>
  <c r="H138" i="9"/>
  <c r="E19" i="30"/>
  <c r="G183" i="11"/>
  <c r="G61" i="2"/>
  <c r="G80" i="2" s="1"/>
  <c r="H57" i="12"/>
  <c r="I88" i="9"/>
  <c r="I76" i="9"/>
  <c r="I84" i="9"/>
  <c r="I86" i="9"/>
  <c r="I78" i="9"/>
  <c r="I80" i="9"/>
  <c r="I82" i="9"/>
  <c r="F15" i="5"/>
  <c r="H105" i="11"/>
  <c r="K42" i="8"/>
  <c r="J21" i="10"/>
  <c r="J69" i="9"/>
  <c r="H50" i="10"/>
  <c r="F18" i="30"/>
  <c r="F188" i="11"/>
  <c r="F192" i="11" s="1"/>
  <c r="E57" i="2"/>
  <c r="J52" i="8"/>
  <c r="G14" i="30" s="1"/>
  <c r="G66" i="12"/>
  <c r="E23" i="30" s="1"/>
  <c r="G70" i="12"/>
  <c r="G114" i="12" s="1"/>
  <c r="G75" i="12"/>
  <c r="G81" i="12"/>
  <c r="G39" i="37"/>
  <c r="G7" i="37" s="1"/>
  <c r="F167" i="11"/>
  <c r="F169" i="11" s="1"/>
  <c r="H52" i="10"/>
  <c r="G115" i="11"/>
  <c r="G134" i="11"/>
  <c r="G128" i="11"/>
  <c r="E33" i="29"/>
  <c r="G112" i="11"/>
  <c r="G135" i="11"/>
  <c r="G140" i="11"/>
  <c r="G118" i="11"/>
  <c r="G116" i="11"/>
  <c r="G152" i="11"/>
  <c r="G208" i="11" s="1"/>
  <c r="G124" i="11"/>
  <c r="H85" i="8"/>
  <c r="F14" i="30"/>
  <c r="I93" i="8"/>
  <c r="I95" i="8" s="1"/>
  <c r="I88" i="8"/>
  <c r="I90" i="8" s="1"/>
  <c r="I83" i="8"/>
  <c r="F207" i="11"/>
  <c r="F209" i="11" s="1"/>
  <c r="F195" i="11"/>
  <c r="F199" i="11" s="1"/>
  <c r="K55" i="34"/>
  <c r="K53" i="34"/>
  <c r="K73" i="34"/>
  <c r="K75" i="34"/>
  <c r="K74" i="34"/>
  <c r="K52" i="34"/>
  <c r="K54" i="34"/>
  <c r="K69" i="34"/>
  <c r="K72" i="34"/>
  <c r="K71" i="34"/>
  <c r="K70" i="34"/>
  <c r="K57" i="34"/>
  <c r="K56" i="34"/>
  <c r="K51" i="34"/>
  <c r="I35" i="10"/>
  <c r="I68" i="10" s="1"/>
  <c r="I39" i="10"/>
  <c r="I69" i="10" s="1"/>
  <c r="I30" i="10"/>
  <c r="G18" i="30" s="1"/>
  <c r="I28" i="10"/>
  <c r="I56" i="10" s="1"/>
  <c r="H131" i="9"/>
  <c r="H133" i="9" s="1"/>
  <c r="H143" i="9"/>
  <c r="H61" i="10"/>
  <c r="H65" i="10" s="1"/>
  <c r="I98" i="34"/>
  <c r="I101" i="34"/>
  <c r="I102" i="34" s="1"/>
  <c r="D47" i="29"/>
  <c r="D67" i="29" s="1"/>
  <c r="D40" i="29"/>
  <c r="C58" i="29"/>
  <c r="H130" i="11"/>
  <c r="H129" i="11"/>
  <c r="E62" i="29"/>
  <c r="J84" i="8"/>
  <c r="K69" i="8"/>
  <c r="H9" i="30" s="1"/>
  <c r="K63" i="8"/>
  <c r="K64" i="8"/>
  <c r="F185" i="11"/>
  <c r="I146" i="9"/>
  <c r="H73" i="12"/>
  <c r="H74" i="12"/>
  <c r="H69" i="12"/>
  <c r="H71" i="12"/>
  <c r="H67" i="12"/>
  <c r="H68" i="12"/>
  <c r="H72" i="12"/>
  <c r="G13" i="30"/>
  <c r="G104" i="12"/>
  <c r="G60" i="2"/>
  <c r="G79" i="2" s="1"/>
  <c r="G168" i="11"/>
  <c r="G189" i="11"/>
  <c r="H114" i="11"/>
  <c r="H113" i="11"/>
  <c r="H123" i="11"/>
  <c r="J38" i="10"/>
  <c r="J42" i="10"/>
  <c r="F51" i="29"/>
  <c r="F43" i="29"/>
  <c r="F44" i="29"/>
  <c r="F50" i="29"/>
  <c r="H79" i="12"/>
  <c r="H85" i="12"/>
  <c r="H84" i="12"/>
  <c r="H78" i="12"/>
  <c r="I16" i="5"/>
  <c r="L47" i="34" s="1"/>
  <c r="K24" i="10"/>
  <c r="K72" i="9"/>
  <c r="I108" i="11"/>
  <c r="G36" i="29" s="1"/>
  <c r="G70" i="2"/>
  <c r="E61" i="29"/>
  <c r="I60" i="12"/>
  <c r="J97" i="9"/>
  <c r="J94" i="9"/>
  <c r="F21" i="30"/>
  <c r="J31" i="10"/>
  <c r="J29" i="10"/>
  <c r="J36" i="10"/>
  <c r="J77" i="9"/>
  <c r="J79" i="9"/>
  <c r="G59" i="2"/>
  <c r="E60" i="29"/>
  <c r="C68" i="29"/>
  <c r="I63" i="10"/>
  <c r="I58" i="12"/>
  <c r="J89" i="9"/>
  <c r="J87" i="9"/>
  <c r="J83" i="9"/>
  <c r="J85" i="9"/>
  <c r="J102" i="9"/>
  <c r="J99" i="9"/>
  <c r="I59" i="12"/>
  <c r="J96" i="9"/>
  <c r="J93" i="9"/>
  <c r="G174" i="11"/>
  <c r="F34" i="29"/>
  <c r="H125" i="11"/>
  <c r="H119" i="11"/>
  <c r="H117" i="11"/>
  <c r="H136" i="11"/>
  <c r="H153" i="11"/>
  <c r="H141" i="11"/>
  <c r="H148" i="11"/>
  <c r="I144" i="9"/>
  <c r="I132" i="9"/>
  <c r="I145" i="9"/>
  <c r="H83" i="12"/>
  <c r="H77" i="12"/>
  <c r="J41" i="10"/>
  <c r="I62" i="10"/>
  <c r="E48" i="29"/>
  <c r="E41" i="29"/>
  <c r="F58" i="2"/>
  <c r="J40" i="10"/>
  <c r="H76" i="12"/>
  <c r="H82" i="12"/>
  <c r="K65" i="8"/>
  <c r="K66" i="8"/>
  <c r="H7" i="30" s="1"/>
  <c r="K67" i="8"/>
  <c r="H8" i="30" s="1"/>
  <c r="K54" i="8"/>
  <c r="D59" i="29"/>
  <c r="F68" i="2"/>
  <c r="F175" i="11"/>
  <c r="H137" i="11"/>
  <c r="F35" i="29"/>
  <c r="H142" i="11"/>
  <c r="H131" i="11"/>
  <c r="H154" i="11"/>
  <c r="H197" i="11" s="1"/>
  <c r="K71" i="9"/>
  <c r="H16" i="5"/>
  <c r="L47" i="8"/>
  <c r="I107" i="11"/>
  <c r="I149" i="11" s="1"/>
  <c r="K23" i="10"/>
  <c r="K37" i="10" s="1"/>
  <c r="I51" i="10"/>
  <c r="G196" i="11"/>
  <c r="H70" i="10"/>
  <c r="I106" i="11"/>
  <c r="K22" i="10"/>
  <c r="K70" i="9"/>
  <c r="K81" i="9" s="1"/>
  <c r="G16" i="5"/>
  <c r="H35" i="5"/>
  <c r="J61" i="12" s="1"/>
  <c r="H39" i="5"/>
  <c r="J62" i="12" s="1"/>
  <c r="J103" i="11"/>
  <c r="D109" i="4"/>
  <c r="H107" i="12" l="1"/>
  <c r="G178" i="11"/>
  <c r="F204" i="11"/>
  <c r="G195" i="11"/>
  <c r="D58" i="29"/>
  <c r="D63" i="29" s="1"/>
  <c r="K97" i="34"/>
  <c r="K105" i="34"/>
  <c r="K94" i="8"/>
  <c r="L59" i="34"/>
  <c r="L58" i="34"/>
  <c r="L61" i="34"/>
  <c r="L60" i="34"/>
  <c r="I10" i="37"/>
  <c r="I11" i="37" s="1"/>
  <c r="I31" i="37" s="1"/>
  <c r="H140" i="9"/>
  <c r="D29" i="30"/>
  <c r="F19" i="30"/>
  <c r="H6" i="30"/>
  <c r="I8" i="39"/>
  <c r="I5" i="39" s="1"/>
  <c r="J83" i="8"/>
  <c r="H5" i="39"/>
  <c r="H152" i="9"/>
  <c r="I126" i="9"/>
  <c r="H78" i="2"/>
  <c r="J78" i="2" s="1"/>
  <c r="E25" i="30"/>
  <c r="G116" i="12"/>
  <c r="G124" i="12"/>
  <c r="G123" i="12"/>
  <c r="E26" i="30"/>
  <c r="G115" i="12"/>
  <c r="F118" i="12"/>
  <c r="E76" i="2"/>
  <c r="H128" i="9"/>
  <c r="F126" i="12"/>
  <c r="G121" i="12"/>
  <c r="I57" i="10"/>
  <c r="G113" i="12"/>
  <c r="G179" i="11"/>
  <c r="G180" i="11" s="1"/>
  <c r="F15" i="30"/>
  <c r="H58" i="10"/>
  <c r="I137" i="9"/>
  <c r="G203" i="11"/>
  <c r="G122" i="12"/>
  <c r="F20" i="30"/>
  <c r="E24" i="30"/>
  <c r="F22" i="30"/>
  <c r="D66" i="29"/>
  <c r="I138" i="9"/>
  <c r="E27" i="30"/>
  <c r="F16" i="30"/>
  <c r="I150" i="9"/>
  <c r="I127" i="9"/>
  <c r="G209" i="11"/>
  <c r="I61" i="10"/>
  <c r="I65" i="10" s="1"/>
  <c r="G199" i="11"/>
  <c r="I151" i="9"/>
  <c r="G184" i="11"/>
  <c r="G185" i="11" s="1"/>
  <c r="L73" i="34"/>
  <c r="L70" i="34"/>
  <c r="L54" i="34"/>
  <c r="L75" i="34"/>
  <c r="L71" i="34"/>
  <c r="L56" i="34"/>
  <c r="L55" i="34"/>
  <c r="L57" i="34"/>
  <c r="L52" i="34"/>
  <c r="L69" i="34"/>
  <c r="L74" i="34"/>
  <c r="L72" i="34"/>
  <c r="L66" i="34"/>
  <c r="L53" i="34"/>
  <c r="L51" i="34"/>
  <c r="L62" i="34"/>
  <c r="I50" i="10"/>
  <c r="I52" i="10" s="1"/>
  <c r="K106" i="34"/>
  <c r="G188" i="11"/>
  <c r="G192" i="11" s="1"/>
  <c r="H112" i="11"/>
  <c r="H115" i="11"/>
  <c r="F33" i="29"/>
  <c r="H134" i="11"/>
  <c r="H202" i="11" s="1"/>
  <c r="H128" i="11"/>
  <c r="H135" i="11"/>
  <c r="H140" i="11"/>
  <c r="H118" i="11"/>
  <c r="H152" i="11"/>
  <c r="H116" i="11"/>
  <c r="H124" i="11"/>
  <c r="H122" i="11"/>
  <c r="G21" i="30" s="1"/>
  <c r="H147" i="11"/>
  <c r="H195" i="11" s="1"/>
  <c r="G17" i="30"/>
  <c r="J80" i="9"/>
  <c r="J86" i="9"/>
  <c r="J88" i="9"/>
  <c r="J76" i="9"/>
  <c r="J78" i="9"/>
  <c r="J82" i="9"/>
  <c r="J84" i="9"/>
  <c r="I57" i="12"/>
  <c r="F16" i="5"/>
  <c r="K69" i="9"/>
  <c r="K21" i="10"/>
  <c r="L42" i="8"/>
  <c r="I105" i="11"/>
  <c r="H70" i="12"/>
  <c r="H114" i="12" s="1"/>
  <c r="H66" i="12"/>
  <c r="F23" i="30" s="1"/>
  <c r="H75" i="12"/>
  <c r="H81" i="12"/>
  <c r="F67" i="2"/>
  <c r="F57" i="2"/>
  <c r="G167" i="11"/>
  <c r="G169" i="11" s="1"/>
  <c r="G103" i="12"/>
  <c r="H147" i="9"/>
  <c r="J98" i="34"/>
  <c r="J101" i="34"/>
  <c r="J102" i="34" s="1"/>
  <c r="J30" i="10"/>
  <c r="H18" i="30" s="1"/>
  <c r="J35" i="10"/>
  <c r="J68" i="10" s="1"/>
  <c r="J28" i="10"/>
  <c r="J56" i="10" s="1"/>
  <c r="J39" i="10"/>
  <c r="J69" i="10" s="1"/>
  <c r="G202" i="11"/>
  <c r="C63" i="29"/>
  <c r="E47" i="29"/>
  <c r="E40" i="29"/>
  <c r="E66" i="29" s="1"/>
  <c r="J93" i="8"/>
  <c r="J95" i="8" s="1"/>
  <c r="J88" i="8"/>
  <c r="J90" i="8" s="1"/>
  <c r="K52" i="8"/>
  <c r="H14" i="30" s="1"/>
  <c r="I143" i="9"/>
  <c r="I147" i="9" s="1"/>
  <c r="I131" i="9"/>
  <c r="I85" i="8"/>
  <c r="G173" i="11"/>
  <c r="G175" i="11" s="1"/>
  <c r="I130" i="11"/>
  <c r="I129" i="11"/>
  <c r="L69" i="8"/>
  <c r="L63" i="8"/>
  <c r="L64" i="8"/>
  <c r="K84" i="8"/>
  <c r="J146" i="9"/>
  <c r="K98" i="9"/>
  <c r="K95" i="9"/>
  <c r="I68" i="12"/>
  <c r="I72" i="12"/>
  <c r="I71" i="12"/>
  <c r="I67" i="12"/>
  <c r="I74" i="12"/>
  <c r="I69" i="12"/>
  <c r="I73" i="12"/>
  <c r="H106" i="12"/>
  <c r="H7" i="37"/>
  <c r="H13" i="30"/>
  <c r="H105" i="12"/>
  <c r="H59" i="2" s="1"/>
  <c r="J59" i="2" s="1"/>
  <c r="H104" i="12"/>
  <c r="H189" i="11"/>
  <c r="H168" i="11"/>
  <c r="I123" i="11"/>
  <c r="I114" i="11"/>
  <c r="I113" i="11"/>
  <c r="F61" i="29"/>
  <c r="I78" i="12"/>
  <c r="I79" i="12"/>
  <c r="I85" i="12"/>
  <c r="I84" i="12"/>
  <c r="G44" i="29"/>
  <c r="G51" i="29"/>
  <c r="G43" i="29"/>
  <c r="G50" i="29"/>
  <c r="L72" i="9"/>
  <c r="J108" i="11"/>
  <c r="I17" i="5"/>
  <c r="M47" i="34" s="1"/>
  <c r="L24" i="10"/>
  <c r="K97" i="9"/>
  <c r="K94" i="9"/>
  <c r="J60" i="12"/>
  <c r="K38" i="10"/>
  <c r="K42" i="10"/>
  <c r="F62" i="29"/>
  <c r="J64" i="10"/>
  <c r="I70" i="10"/>
  <c r="K31" i="10"/>
  <c r="K36" i="10"/>
  <c r="K29" i="10"/>
  <c r="K79" i="9"/>
  <c r="K77" i="9"/>
  <c r="H69" i="2"/>
  <c r="J69" i="2" s="1"/>
  <c r="G58" i="2"/>
  <c r="J145" i="9"/>
  <c r="J63" i="10"/>
  <c r="G68" i="2"/>
  <c r="K40" i="10"/>
  <c r="J132" i="9"/>
  <c r="J144" i="9"/>
  <c r="I82" i="12"/>
  <c r="I76" i="12"/>
  <c r="H190" i="11"/>
  <c r="G17" i="5"/>
  <c r="L22" i="10"/>
  <c r="L70" i="9"/>
  <c r="L81" i="9" s="1"/>
  <c r="J106" i="11"/>
  <c r="I35" i="5"/>
  <c r="K61" i="12" s="1"/>
  <c r="I39" i="5"/>
  <c r="K62" i="12" s="1"/>
  <c r="L71" i="9"/>
  <c r="L23" i="10"/>
  <c r="L37" i="10" s="1"/>
  <c r="H17" i="5"/>
  <c r="M47" i="8"/>
  <c r="J107" i="11"/>
  <c r="J149" i="11" s="1"/>
  <c r="J62" i="10"/>
  <c r="E59" i="29"/>
  <c r="I83" i="12"/>
  <c r="I77" i="12"/>
  <c r="I137" i="11"/>
  <c r="I142" i="11"/>
  <c r="G35" i="29"/>
  <c r="I131" i="11"/>
  <c r="I154" i="11"/>
  <c r="I197" i="11" s="1"/>
  <c r="H208" i="11"/>
  <c r="I141" i="11"/>
  <c r="I125" i="11"/>
  <c r="G34" i="29"/>
  <c r="I153" i="11"/>
  <c r="I119" i="11"/>
  <c r="I136" i="11"/>
  <c r="I117" i="11"/>
  <c r="L65" i="8"/>
  <c r="L66" i="8"/>
  <c r="L54" i="8"/>
  <c r="L67" i="8"/>
  <c r="J51" i="10"/>
  <c r="I148" i="11"/>
  <c r="K85" i="9"/>
  <c r="K89" i="9"/>
  <c r="K87" i="9"/>
  <c r="J58" i="12"/>
  <c r="K83" i="9"/>
  <c r="K41" i="10"/>
  <c r="K63" i="10" s="1"/>
  <c r="K96" i="9"/>
  <c r="K102" i="9"/>
  <c r="K99" i="9"/>
  <c r="J59" i="12"/>
  <c r="K93" i="9"/>
  <c r="F42" i="29"/>
  <c r="F49" i="29"/>
  <c r="F77" i="2"/>
  <c r="H196" i="11"/>
  <c r="F41" i="29"/>
  <c r="F48" i="29"/>
  <c r="H174" i="11"/>
  <c r="D110" i="4"/>
  <c r="K103" i="11"/>
  <c r="I128" i="9" l="1"/>
  <c r="I107" i="12"/>
  <c r="F27" i="30"/>
  <c r="H199" i="11"/>
  <c r="E67" i="29"/>
  <c r="G19" i="30"/>
  <c r="D68" i="29"/>
  <c r="G204" i="11"/>
  <c r="H122" i="12"/>
  <c r="K107" i="34"/>
  <c r="L105" i="34"/>
  <c r="L97" i="34"/>
  <c r="I7" i="30"/>
  <c r="L94" i="8"/>
  <c r="I8" i="30"/>
  <c r="J35" i="37"/>
  <c r="M58" i="34"/>
  <c r="M59" i="34"/>
  <c r="M60" i="34"/>
  <c r="M61" i="34"/>
  <c r="J10" i="37"/>
  <c r="J11" i="37" s="1"/>
  <c r="J31" i="37" s="1"/>
  <c r="H179" i="11"/>
  <c r="I6" i="30"/>
  <c r="J8" i="39"/>
  <c r="J85" i="8"/>
  <c r="I140" i="9"/>
  <c r="J138" i="9"/>
  <c r="H116" i="12"/>
  <c r="H124" i="12"/>
  <c r="F25" i="30"/>
  <c r="F26" i="30"/>
  <c r="H115" i="12"/>
  <c r="H123" i="12"/>
  <c r="G126" i="12"/>
  <c r="G57" i="2"/>
  <c r="I58" i="10"/>
  <c r="G118" i="12"/>
  <c r="G20" i="30"/>
  <c r="K83" i="8"/>
  <c r="G16" i="30"/>
  <c r="J137" i="9"/>
  <c r="J50" i="10"/>
  <c r="J52" i="10" s="1"/>
  <c r="J57" i="10"/>
  <c r="E29" i="30"/>
  <c r="H113" i="12"/>
  <c r="H203" i="11"/>
  <c r="H204" i="11" s="1"/>
  <c r="I152" i="9"/>
  <c r="J150" i="9"/>
  <c r="J126" i="9"/>
  <c r="G15" i="30"/>
  <c r="J127" i="9"/>
  <c r="H184" i="11"/>
  <c r="I9" i="30"/>
  <c r="H103" i="12"/>
  <c r="H188" i="11"/>
  <c r="H192" i="11" s="1"/>
  <c r="H167" i="11"/>
  <c r="H169" i="11" s="1"/>
  <c r="J151" i="9"/>
  <c r="H121" i="12"/>
  <c r="F24" i="30"/>
  <c r="H178" i="11"/>
  <c r="G22" i="30"/>
  <c r="K93" i="8"/>
  <c r="K95" i="8" s="1"/>
  <c r="K88" i="8"/>
  <c r="K90" i="8" s="1"/>
  <c r="E58" i="29"/>
  <c r="J61" i="10"/>
  <c r="J65" i="10" s="1"/>
  <c r="L52" i="8"/>
  <c r="I14" i="30" s="1"/>
  <c r="I66" i="12"/>
  <c r="I75" i="12"/>
  <c r="I70" i="12"/>
  <c r="I114" i="12" s="1"/>
  <c r="I81" i="12"/>
  <c r="J143" i="9"/>
  <c r="J147" i="9" s="1"/>
  <c r="J131" i="9"/>
  <c r="J133" i="9" s="1"/>
  <c r="H17" i="30"/>
  <c r="H183" i="11"/>
  <c r="H173" i="11"/>
  <c r="H175" i="11" s="1"/>
  <c r="G67" i="2"/>
  <c r="K30" i="10"/>
  <c r="I18" i="30" s="1"/>
  <c r="K35" i="10"/>
  <c r="K68" i="10" s="1"/>
  <c r="K28" i="10"/>
  <c r="K56" i="10" s="1"/>
  <c r="K39" i="10"/>
  <c r="K69" i="10" s="1"/>
  <c r="H207" i="11"/>
  <c r="H209" i="11" s="1"/>
  <c r="F40" i="29"/>
  <c r="F47" i="29"/>
  <c r="L106" i="34"/>
  <c r="F76" i="2"/>
  <c r="K82" i="9"/>
  <c r="K86" i="9"/>
  <c r="J57" i="12"/>
  <c r="K78" i="9"/>
  <c r="K80" i="9"/>
  <c r="K84" i="9"/>
  <c r="K76" i="9"/>
  <c r="K88" i="9"/>
  <c r="K101" i="34"/>
  <c r="K102" i="34" s="1"/>
  <c r="K98" i="34"/>
  <c r="I133" i="9"/>
  <c r="M75" i="34"/>
  <c r="M70" i="34"/>
  <c r="M54" i="34"/>
  <c r="M55" i="34"/>
  <c r="M72" i="34"/>
  <c r="M57" i="34"/>
  <c r="M52" i="34"/>
  <c r="M73" i="34"/>
  <c r="M56" i="34"/>
  <c r="M71" i="34"/>
  <c r="M74" i="34"/>
  <c r="M66" i="34"/>
  <c r="M69" i="34"/>
  <c r="M53" i="34"/>
  <c r="M51" i="34"/>
  <c r="M62" i="34"/>
  <c r="I112" i="11"/>
  <c r="G33" i="29"/>
  <c r="I140" i="11"/>
  <c r="I135" i="11"/>
  <c r="I115" i="11"/>
  <c r="I134" i="11"/>
  <c r="I128" i="11"/>
  <c r="I152" i="11"/>
  <c r="I208" i="11" s="1"/>
  <c r="I116" i="11"/>
  <c r="I118" i="11"/>
  <c r="I124" i="11"/>
  <c r="I122" i="11"/>
  <c r="I183" i="11" s="1"/>
  <c r="I147" i="11"/>
  <c r="F17" i="5"/>
  <c r="M42" i="8"/>
  <c r="L21" i="10"/>
  <c r="L69" i="9"/>
  <c r="J105" i="11"/>
  <c r="I39" i="37"/>
  <c r="I7" i="37" s="1"/>
  <c r="J130" i="11"/>
  <c r="J129" i="11"/>
  <c r="L84" i="8"/>
  <c r="M69" i="8"/>
  <c r="M64" i="8"/>
  <c r="M63" i="8"/>
  <c r="K146" i="9"/>
  <c r="L95" i="9"/>
  <c r="L98" i="9"/>
  <c r="J72" i="12"/>
  <c r="J68" i="12"/>
  <c r="J67" i="12"/>
  <c r="J71" i="12"/>
  <c r="J73" i="12"/>
  <c r="J74" i="12"/>
  <c r="J69" i="12"/>
  <c r="I13" i="30"/>
  <c r="I106" i="12"/>
  <c r="I104" i="12"/>
  <c r="I105" i="12"/>
  <c r="H61" i="2"/>
  <c r="H60" i="2"/>
  <c r="I189" i="11"/>
  <c r="I168" i="11"/>
  <c r="J123" i="11"/>
  <c r="J114" i="11"/>
  <c r="J113" i="11"/>
  <c r="G61" i="29"/>
  <c r="H70" i="2"/>
  <c r="J70" i="2" s="1"/>
  <c r="K64" i="10"/>
  <c r="J79" i="12"/>
  <c r="J78" i="12"/>
  <c r="J85" i="12"/>
  <c r="J84" i="12"/>
  <c r="L42" i="10"/>
  <c r="L38" i="10"/>
  <c r="K60" i="12"/>
  <c r="L100" i="9"/>
  <c r="L103" i="9"/>
  <c r="L94" i="9"/>
  <c r="L97" i="9"/>
  <c r="G62" i="29"/>
  <c r="J132" i="11"/>
  <c r="J143" i="11"/>
  <c r="H36" i="29"/>
  <c r="J155" i="11"/>
  <c r="J138" i="11"/>
  <c r="J150" i="11"/>
  <c r="M72" i="9"/>
  <c r="I18" i="5"/>
  <c r="N47" i="34" s="1"/>
  <c r="M24" i="10"/>
  <c r="K108" i="11"/>
  <c r="K150" i="11" s="1"/>
  <c r="L31" i="10"/>
  <c r="L29" i="10"/>
  <c r="L36" i="10"/>
  <c r="L79" i="9"/>
  <c r="L77" i="9"/>
  <c r="G77" i="2"/>
  <c r="I196" i="11"/>
  <c r="E68" i="29"/>
  <c r="F60" i="29"/>
  <c r="I190" i="11"/>
  <c r="J70" i="10"/>
  <c r="F59" i="29"/>
  <c r="J83" i="12"/>
  <c r="J77" i="12"/>
  <c r="G48" i="29"/>
  <c r="G41" i="29"/>
  <c r="H34" i="29"/>
  <c r="J141" i="11"/>
  <c r="J136" i="11"/>
  <c r="J153" i="11"/>
  <c r="J117" i="11"/>
  <c r="J119" i="11"/>
  <c r="J125" i="11"/>
  <c r="J154" i="11"/>
  <c r="J197" i="11" s="1"/>
  <c r="J131" i="11"/>
  <c r="J137" i="11"/>
  <c r="J142" i="11"/>
  <c r="H35" i="29"/>
  <c r="L83" i="9"/>
  <c r="L85" i="9"/>
  <c r="K58" i="12"/>
  <c r="L89" i="9"/>
  <c r="L87" i="9"/>
  <c r="J148" i="11"/>
  <c r="H68" i="2"/>
  <c r="J68" i="2" s="1"/>
  <c r="M54" i="8"/>
  <c r="M66" i="8"/>
  <c r="M67" i="8"/>
  <c r="M65" i="8"/>
  <c r="L40" i="10"/>
  <c r="K51" i="10"/>
  <c r="L41" i="10"/>
  <c r="K144" i="9"/>
  <c r="K132" i="9"/>
  <c r="G42" i="29"/>
  <c r="G49" i="29"/>
  <c r="K59" i="12"/>
  <c r="L96" i="9"/>
  <c r="L102" i="9"/>
  <c r="L93" i="9"/>
  <c r="L99" i="9"/>
  <c r="K62" i="10"/>
  <c r="K145" i="9"/>
  <c r="J82" i="12"/>
  <c r="J76" i="12"/>
  <c r="I174" i="11"/>
  <c r="H58" i="2"/>
  <c r="J58" i="2" s="1"/>
  <c r="M71" i="9"/>
  <c r="N47" i="8"/>
  <c r="H18" i="5"/>
  <c r="M23" i="10"/>
  <c r="M37" i="10" s="1"/>
  <c r="K107" i="11"/>
  <c r="K149" i="11" s="1"/>
  <c r="M22" i="10"/>
  <c r="G18" i="5"/>
  <c r="M70" i="9"/>
  <c r="M81" i="9" s="1"/>
  <c r="K106" i="11"/>
  <c r="J35" i="5"/>
  <c r="L61" i="12" s="1"/>
  <c r="J39" i="5"/>
  <c r="L62" i="12" s="1"/>
  <c r="D111" i="4"/>
  <c r="L103" i="11"/>
  <c r="H79" i="2" l="1"/>
  <c r="J79" i="2" s="1"/>
  <c r="J60" i="2"/>
  <c r="H80" i="2"/>
  <c r="J80" i="2" s="1"/>
  <c r="J61" i="2"/>
  <c r="J140" i="9"/>
  <c r="J107" i="12"/>
  <c r="I178" i="11"/>
  <c r="I202" i="11"/>
  <c r="M105" i="34"/>
  <c r="M97" i="34"/>
  <c r="J8" i="30"/>
  <c r="J39" i="37"/>
  <c r="J7" i="37" s="1"/>
  <c r="M94" i="8"/>
  <c r="J7" i="30"/>
  <c r="N58" i="34"/>
  <c r="N59" i="34"/>
  <c r="N61" i="34"/>
  <c r="N60" i="34"/>
  <c r="K35" i="37"/>
  <c r="J5" i="39"/>
  <c r="H180" i="11"/>
  <c r="K10" i="37"/>
  <c r="K11" i="37" s="1"/>
  <c r="K31" i="37" s="1"/>
  <c r="G27" i="30"/>
  <c r="I184" i="11"/>
  <c r="I185" i="11" s="1"/>
  <c r="I195" i="11"/>
  <c r="I199" i="11" s="1"/>
  <c r="J6" i="30"/>
  <c r="K8" i="39"/>
  <c r="H57" i="2"/>
  <c r="J57" i="2" s="1"/>
  <c r="J58" i="10"/>
  <c r="I124" i="12"/>
  <c r="I116" i="12"/>
  <c r="G25" i="30"/>
  <c r="K85" i="8"/>
  <c r="G26" i="30"/>
  <c r="I115" i="12"/>
  <c r="I123" i="12"/>
  <c r="L83" i="8"/>
  <c r="G76" i="2"/>
  <c r="F29" i="30"/>
  <c r="H126" i="12"/>
  <c r="G24" i="30"/>
  <c r="K150" i="9"/>
  <c r="I179" i="11"/>
  <c r="I180" i="11" s="1"/>
  <c r="I203" i="11"/>
  <c r="I204" i="11" s="1"/>
  <c r="I103" i="12"/>
  <c r="H15" i="30"/>
  <c r="J152" i="9"/>
  <c r="J9" i="30"/>
  <c r="K137" i="9"/>
  <c r="K126" i="9"/>
  <c r="K138" i="9"/>
  <c r="H16" i="30"/>
  <c r="F67" i="29"/>
  <c r="K127" i="9"/>
  <c r="F58" i="29"/>
  <c r="F63" i="29" s="1"/>
  <c r="K151" i="9"/>
  <c r="J128" i="9"/>
  <c r="F66" i="29"/>
  <c r="H20" i="30"/>
  <c r="G23" i="30"/>
  <c r="I113" i="12"/>
  <c r="H185" i="11"/>
  <c r="K50" i="10"/>
  <c r="K52" i="10" s="1"/>
  <c r="H67" i="2"/>
  <c r="J67" i="2" s="1"/>
  <c r="I121" i="12"/>
  <c r="I122" i="12"/>
  <c r="K57" i="10"/>
  <c r="H22" i="30"/>
  <c r="H118" i="12"/>
  <c r="H19" i="30"/>
  <c r="L107" i="34"/>
  <c r="I173" i="11"/>
  <c r="I175" i="11" s="1"/>
  <c r="K61" i="10"/>
  <c r="K65" i="10" s="1"/>
  <c r="N82" i="34"/>
  <c r="N70" i="34"/>
  <c r="N75" i="34"/>
  <c r="N66" i="34"/>
  <c r="N57" i="34"/>
  <c r="N73" i="34"/>
  <c r="N55" i="34"/>
  <c r="N52" i="34"/>
  <c r="N56" i="34"/>
  <c r="N54" i="34"/>
  <c r="N69" i="34"/>
  <c r="N74" i="34"/>
  <c r="N71" i="34"/>
  <c r="N72" i="34"/>
  <c r="N76" i="34"/>
  <c r="N53" i="34"/>
  <c r="N51" i="34"/>
  <c r="N77" i="34"/>
  <c r="N78" i="34"/>
  <c r="N62" i="34"/>
  <c r="L30" i="10"/>
  <c r="J18" i="30" s="1"/>
  <c r="L35" i="10"/>
  <c r="L68" i="10" s="1"/>
  <c r="L28" i="10"/>
  <c r="J17" i="30" s="1"/>
  <c r="L39" i="10"/>
  <c r="L69" i="10" s="1"/>
  <c r="M52" i="8"/>
  <c r="J14" i="30" s="1"/>
  <c r="I188" i="11"/>
  <c r="I192" i="11" s="1"/>
  <c r="H21" i="30"/>
  <c r="L93" i="8"/>
  <c r="L95" i="8" s="1"/>
  <c r="L88" i="8"/>
  <c r="L90" i="8" s="1"/>
  <c r="I17" i="30"/>
  <c r="L101" i="34"/>
  <c r="L102" i="34" s="1"/>
  <c r="L98" i="34"/>
  <c r="J112" i="11"/>
  <c r="H33" i="29"/>
  <c r="J152" i="11"/>
  <c r="J208" i="11" s="1"/>
  <c r="J135" i="11"/>
  <c r="J115" i="11"/>
  <c r="J118" i="11"/>
  <c r="J140" i="11"/>
  <c r="J116" i="11"/>
  <c r="J134" i="11"/>
  <c r="J128" i="11"/>
  <c r="J124" i="11"/>
  <c r="J122" i="11"/>
  <c r="J147" i="11"/>
  <c r="J207" i="11" s="1"/>
  <c r="F18" i="5"/>
  <c r="K35" i="5" s="1"/>
  <c r="M61" i="12" s="1"/>
  <c r="M21" i="10"/>
  <c r="K105" i="11"/>
  <c r="N42" i="8"/>
  <c r="M69" i="9"/>
  <c r="G40" i="29"/>
  <c r="G47" i="29"/>
  <c r="M106" i="34"/>
  <c r="I207" i="11"/>
  <c r="I209" i="11" s="1"/>
  <c r="K131" i="9"/>
  <c r="K143" i="9"/>
  <c r="K147" i="9" s="1"/>
  <c r="J75" i="12"/>
  <c r="J66" i="12"/>
  <c r="J121" i="12" s="1"/>
  <c r="J81" i="12"/>
  <c r="J70" i="12"/>
  <c r="J114" i="12" s="1"/>
  <c r="E63" i="29"/>
  <c r="K57" i="12"/>
  <c r="L84" i="9"/>
  <c r="L78" i="9"/>
  <c r="L86" i="9"/>
  <c r="L88" i="9"/>
  <c r="L80" i="9"/>
  <c r="L82" i="9"/>
  <c r="L76" i="9"/>
  <c r="I167" i="11"/>
  <c r="I169" i="11" s="1"/>
  <c r="K130" i="11"/>
  <c r="K129" i="11"/>
  <c r="N69" i="8"/>
  <c r="N64" i="8"/>
  <c r="N63" i="8"/>
  <c r="M84" i="8"/>
  <c r="L146" i="9"/>
  <c r="M95" i="9"/>
  <c r="M98" i="9"/>
  <c r="K69" i="12"/>
  <c r="K74" i="12"/>
  <c r="K73" i="12"/>
  <c r="K72" i="12"/>
  <c r="K68" i="12"/>
  <c r="K71" i="12"/>
  <c r="K67" i="12"/>
  <c r="J13" i="30"/>
  <c r="J105" i="12"/>
  <c r="J106" i="12"/>
  <c r="J104" i="12"/>
  <c r="J168" i="11"/>
  <c r="J189" i="11"/>
  <c r="K148" i="11"/>
  <c r="K114" i="11"/>
  <c r="K113" i="11"/>
  <c r="K123" i="11"/>
  <c r="J198" i="11"/>
  <c r="H51" i="29"/>
  <c r="H50" i="29"/>
  <c r="H43" i="29"/>
  <c r="H44" i="29"/>
  <c r="M42" i="10"/>
  <c r="M38" i="10"/>
  <c r="J191" i="11"/>
  <c r="K79" i="12"/>
  <c r="K85" i="12"/>
  <c r="K78" i="12"/>
  <c r="K84" i="12"/>
  <c r="K138" i="11"/>
  <c r="I36" i="29"/>
  <c r="K143" i="11"/>
  <c r="K155" i="11"/>
  <c r="K198" i="11" s="1"/>
  <c r="K132" i="11"/>
  <c r="M103" i="9"/>
  <c r="M94" i="9"/>
  <c r="M100" i="9"/>
  <c r="L60" i="12"/>
  <c r="M97" i="9"/>
  <c r="N72" i="9"/>
  <c r="I19" i="5"/>
  <c r="O47" i="34" s="1"/>
  <c r="L108" i="11"/>
  <c r="L150" i="11" s="1"/>
  <c r="N24" i="10"/>
  <c r="L64" i="10"/>
  <c r="M31" i="10"/>
  <c r="M29" i="10"/>
  <c r="M36" i="10"/>
  <c r="M79" i="9"/>
  <c r="M77" i="9"/>
  <c r="J184" i="11"/>
  <c r="J196" i="11"/>
  <c r="L63" i="10"/>
  <c r="L145" i="9"/>
  <c r="K70" i="10"/>
  <c r="H77" i="2"/>
  <c r="J77" i="2" s="1"/>
  <c r="M40" i="10"/>
  <c r="N71" i="9"/>
  <c r="L107" i="11"/>
  <c r="O47" i="8"/>
  <c r="N23" i="10"/>
  <c r="N37" i="10" s="1"/>
  <c r="H19" i="5"/>
  <c r="L132" i="9"/>
  <c r="L144" i="9"/>
  <c r="M89" i="9"/>
  <c r="M83" i="9"/>
  <c r="L58" i="12"/>
  <c r="M85" i="9"/>
  <c r="M87" i="9"/>
  <c r="N67" i="8"/>
  <c r="N54" i="8"/>
  <c r="N65" i="8"/>
  <c r="N66" i="8"/>
  <c r="J190" i="11"/>
  <c r="G59" i="29"/>
  <c r="J174" i="11"/>
  <c r="M41" i="10"/>
  <c r="L62" i="10"/>
  <c r="K136" i="11"/>
  <c r="K141" i="11"/>
  <c r="I34" i="29"/>
  <c r="K117" i="11"/>
  <c r="K125" i="11"/>
  <c r="K119" i="11"/>
  <c r="K153" i="11"/>
  <c r="G60" i="29"/>
  <c r="G19" i="5"/>
  <c r="L106" i="11"/>
  <c r="N22" i="10"/>
  <c r="N70" i="9"/>
  <c r="N81" i="9" s="1"/>
  <c r="K154" i="11"/>
  <c r="K197" i="11" s="1"/>
  <c r="K131" i="11"/>
  <c r="I35" i="29"/>
  <c r="K137" i="11"/>
  <c r="K142" i="11"/>
  <c r="M99" i="9"/>
  <c r="M93" i="9"/>
  <c r="M102" i="9"/>
  <c r="L59" i="12"/>
  <c r="M96" i="9"/>
  <c r="K77" i="12"/>
  <c r="K83" i="12"/>
  <c r="L51" i="10"/>
  <c r="K76" i="12"/>
  <c r="K82" i="12"/>
  <c r="H49" i="29"/>
  <c r="H42" i="29"/>
  <c r="H48" i="29"/>
  <c r="H41" i="29"/>
  <c r="G67" i="29"/>
  <c r="D112" i="4"/>
  <c r="M103" i="11"/>
  <c r="K39" i="37" l="1"/>
  <c r="K7" i="37" s="1"/>
  <c r="K107" i="12"/>
  <c r="J178" i="11"/>
  <c r="H27" i="30"/>
  <c r="J202" i="11"/>
  <c r="N105" i="34"/>
  <c r="N97" i="34"/>
  <c r="N94" i="8"/>
  <c r="K7" i="30"/>
  <c r="L35" i="37"/>
  <c r="K8" i="30"/>
  <c r="O58" i="34"/>
  <c r="O59" i="34"/>
  <c r="O61" i="34"/>
  <c r="O60" i="34"/>
  <c r="H76" i="2"/>
  <c r="J76" i="2" s="1"/>
  <c r="L10" i="37"/>
  <c r="L11" i="37" s="1"/>
  <c r="L31" i="37" s="1"/>
  <c r="L85" i="8"/>
  <c r="G66" i="29"/>
  <c r="J195" i="11"/>
  <c r="I22" i="30"/>
  <c r="L151" i="11"/>
  <c r="K6" i="30"/>
  <c r="L8" i="39"/>
  <c r="K5" i="39"/>
  <c r="K140" i="9"/>
  <c r="K152" i="9"/>
  <c r="J124" i="12"/>
  <c r="J116" i="12"/>
  <c r="H25" i="30"/>
  <c r="J123" i="12"/>
  <c r="H26" i="30"/>
  <c r="J115" i="12"/>
  <c r="G29" i="30"/>
  <c r="I118" i="12"/>
  <c r="J113" i="12"/>
  <c r="L151" i="9"/>
  <c r="I126" i="12"/>
  <c r="K58" i="10"/>
  <c r="I15" i="30"/>
  <c r="J203" i="11"/>
  <c r="J204" i="11" s="1"/>
  <c r="K128" i="9"/>
  <c r="L126" i="9"/>
  <c r="M83" i="8"/>
  <c r="H23" i="30"/>
  <c r="K39" i="5"/>
  <c r="M62" i="12" s="1"/>
  <c r="L127" i="9"/>
  <c r="J179" i="11"/>
  <c r="J180" i="11" s="1"/>
  <c r="L150" i="9"/>
  <c r="I16" i="30"/>
  <c r="L57" i="10"/>
  <c r="J122" i="12"/>
  <c r="L137" i="9"/>
  <c r="F68" i="29"/>
  <c r="K9" i="30"/>
  <c r="L50" i="10"/>
  <c r="L52" i="10" s="1"/>
  <c r="L56" i="10"/>
  <c r="L138" i="9"/>
  <c r="I20" i="30"/>
  <c r="H24" i="30"/>
  <c r="I19" i="30"/>
  <c r="L61" i="10"/>
  <c r="L65" i="10" s="1"/>
  <c r="K75" i="12"/>
  <c r="K81" i="12"/>
  <c r="K66" i="12"/>
  <c r="K121" i="12" s="1"/>
  <c r="K70" i="12"/>
  <c r="K114" i="12" s="1"/>
  <c r="J103" i="12"/>
  <c r="G58" i="29"/>
  <c r="G63" i="29" s="1"/>
  <c r="M30" i="10"/>
  <c r="K18" i="30" s="1"/>
  <c r="M28" i="10"/>
  <c r="M56" i="10" s="1"/>
  <c r="M39" i="10"/>
  <c r="M69" i="10" s="1"/>
  <c r="M35" i="10"/>
  <c r="M68" i="10" s="1"/>
  <c r="M88" i="8"/>
  <c r="M90" i="8" s="1"/>
  <c r="M93" i="8"/>
  <c r="M95" i="8" s="1"/>
  <c r="L143" i="9"/>
  <c r="L147" i="9" s="1"/>
  <c r="L131" i="9"/>
  <c r="L133" i="9" s="1"/>
  <c r="L57" i="12"/>
  <c r="M80" i="9"/>
  <c r="M84" i="9"/>
  <c r="M78" i="9"/>
  <c r="M88" i="9"/>
  <c r="M76" i="9"/>
  <c r="M82" i="9"/>
  <c r="M86" i="9"/>
  <c r="N21" i="10"/>
  <c r="L105" i="11"/>
  <c r="O42" i="8"/>
  <c r="F19" i="5"/>
  <c r="L39" i="5" s="1"/>
  <c r="N62" i="12" s="1"/>
  <c r="N69" i="9"/>
  <c r="J188" i="11"/>
  <c r="J192" i="11" s="1"/>
  <c r="H47" i="29"/>
  <c r="H67" i="29" s="1"/>
  <c r="H40" i="29"/>
  <c r="H66" i="29" s="1"/>
  <c r="M107" i="34"/>
  <c r="O72" i="34"/>
  <c r="O75" i="34"/>
  <c r="O76" i="34"/>
  <c r="O74" i="34"/>
  <c r="O82" i="34"/>
  <c r="O70" i="34"/>
  <c r="O73" i="34"/>
  <c r="O57" i="34"/>
  <c r="O56" i="34"/>
  <c r="O66" i="34"/>
  <c r="O71" i="34"/>
  <c r="O52" i="34"/>
  <c r="O69" i="34"/>
  <c r="O54" i="34"/>
  <c r="O55" i="34"/>
  <c r="O53" i="34"/>
  <c r="O51" i="34"/>
  <c r="O77" i="34"/>
  <c r="O78" i="34"/>
  <c r="O62" i="34"/>
  <c r="N52" i="8"/>
  <c r="K14" i="30" s="1"/>
  <c r="J167" i="11"/>
  <c r="J169" i="11" s="1"/>
  <c r="M101" i="34"/>
  <c r="M102" i="34" s="1"/>
  <c r="M98" i="34"/>
  <c r="N106" i="34"/>
  <c r="K128" i="11"/>
  <c r="I33" i="29"/>
  <c r="K116" i="11"/>
  <c r="K179" i="11" s="1"/>
  <c r="K112" i="11"/>
  <c r="K140" i="11"/>
  <c r="K135" i="11"/>
  <c r="K152" i="11"/>
  <c r="K208" i="11" s="1"/>
  <c r="K134" i="11"/>
  <c r="K124" i="11"/>
  <c r="K115" i="11"/>
  <c r="K118" i="11"/>
  <c r="K122" i="11"/>
  <c r="J21" i="30" s="1"/>
  <c r="K147" i="11"/>
  <c r="I21" i="30"/>
  <c r="J173" i="11"/>
  <c r="J175" i="11" s="1"/>
  <c r="J183" i="11"/>
  <c r="K133" i="9"/>
  <c r="N84" i="8"/>
  <c r="L130" i="11"/>
  <c r="L129" i="11"/>
  <c r="O69" i="8"/>
  <c r="O64" i="8"/>
  <c r="O63" i="8"/>
  <c r="M146" i="9"/>
  <c r="N95" i="9"/>
  <c r="N98" i="9"/>
  <c r="L69" i="12"/>
  <c r="L73" i="12"/>
  <c r="L74" i="12"/>
  <c r="L67" i="12"/>
  <c r="L71" i="12"/>
  <c r="L72" i="12"/>
  <c r="L68" i="12"/>
  <c r="K13" i="30"/>
  <c r="K104" i="12"/>
  <c r="K105" i="12"/>
  <c r="K106" i="12"/>
  <c r="J199" i="11"/>
  <c r="K189" i="11"/>
  <c r="K168" i="11"/>
  <c r="L148" i="11"/>
  <c r="L114" i="11"/>
  <c r="L113" i="11"/>
  <c r="M64" i="10"/>
  <c r="M108" i="11"/>
  <c r="M150" i="11" s="1"/>
  <c r="O24" i="10"/>
  <c r="O72" i="9"/>
  <c r="I20" i="5"/>
  <c r="P47" i="34" s="1"/>
  <c r="N103" i="9"/>
  <c r="N94" i="9"/>
  <c r="N97" i="9"/>
  <c r="N104" i="9"/>
  <c r="M60" i="12"/>
  <c r="N101" i="9"/>
  <c r="N100" i="9"/>
  <c r="H62" i="29"/>
  <c r="L143" i="11"/>
  <c r="L156" i="11"/>
  <c r="L144" i="11"/>
  <c r="L138" i="11"/>
  <c r="L139" i="11"/>
  <c r="J36" i="29"/>
  <c r="L155" i="11"/>
  <c r="L133" i="11"/>
  <c r="L132" i="11"/>
  <c r="L79" i="12"/>
  <c r="L84" i="12"/>
  <c r="L85" i="12"/>
  <c r="L78" i="12"/>
  <c r="I51" i="29"/>
  <c r="I44" i="29"/>
  <c r="I50" i="29"/>
  <c r="I43" i="29"/>
  <c r="H61" i="29"/>
  <c r="N42" i="10"/>
  <c r="N38" i="10"/>
  <c r="K191" i="11"/>
  <c r="L123" i="11"/>
  <c r="N31" i="10"/>
  <c r="N36" i="10"/>
  <c r="N29" i="10"/>
  <c r="N77" i="9"/>
  <c r="N79" i="9"/>
  <c r="H60" i="29"/>
  <c r="J209" i="11"/>
  <c r="L70" i="10"/>
  <c r="M145" i="9"/>
  <c r="I42" i="29"/>
  <c r="I49" i="29"/>
  <c r="N83" i="9"/>
  <c r="N89" i="9"/>
  <c r="N87" i="9"/>
  <c r="N85" i="9"/>
  <c r="M58" i="12"/>
  <c r="M63" i="10"/>
  <c r="H20" i="5"/>
  <c r="O71" i="9"/>
  <c r="O23" i="10"/>
  <c r="O37" i="10" s="1"/>
  <c r="P47" i="8"/>
  <c r="M107" i="11"/>
  <c r="M149" i="11" s="1"/>
  <c r="N99" i="9"/>
  <c r="N93" i="9"/>
  <c r="M59" i="12"/>
  <c r="N96" i="9"/>
  <c r="N102" i="9"/>
  <c r="O22" i="10"/>
  <c r="O70" i="9"/>
  <c r="O81" i="9" s="1"/>
  <c r="G20" i="5"/>
  <c r="M106" i="11"/>
  <c r="M123" i="11" s="1"/>
  <c r="L35" i="5"/>
  <c r="N61" i="12" s="1"/>
  <c r="L77" i="12"/>
  <c r="L83" i="12"/>
  <c r="N40" i="10"/>
  <c r="I41" i="29"/>
  <c r="I48" i="29"/>
  <c r="G68" i="29"/>
  <c r="N41" i="10"/>
  <c r="K174" i="11"/>
  <c r="M51" i="10"/>
  <c r="L137" i="11"/>
  <c r="J35" i="29"/>
  <c r="L142" i="11"/>
  <c r="L154" i="11"/>
  <c r="L131" i="11"/>
  <c r="L149" i="11"/>
  <c r="H59" i="29"/>
  <c r="K190" i="11"/>
  <c r="L136" i="11"/>
  <c r="L119" i="11"/>
  <c r="L141" i="11"/>
  <c r="L125" i="11"/>
  <c r="L117" i="11"/>
  <c r="J34" i="29"/>
  <c r="L153" i="11"/>
  <c r="L76" i="12"/>
  <c r="L82" i="12"/>
  <c r="M132" i="9"/>
  <c r="M144" i="9"/>
  <c r="O67" i="8"/>
  <c r="O65" i="8"/>
  <c r="O66" i="8"/>
  <c r="O54" i="8"/>
  <c r="M62" i="10"/>
  <c r="K196" i="11"/>
  <c r="N103" i="11"/>
  <c r="D113" i="4"/>
  <c r="O103" i="11" s="1"/>
  <c r="K17" i="30" l="1"/>
  <c r="J20" i="30"/>
  <c r="L107" i="12"/>
  <c r="K202" i="11"/>
  <c r="J185" i="11"/>
  <c r="I27" i="30"/>
  <c r="M151" i="11"/>
  <c r="K122" i="12"/>
  <c r="O97" i="34"/>
  <c r="O105" i="34"/>
  <c r="O94" i="8"/>
  <c r="L8" i="30"/>
  <c r="P58" i="34"/>
  <c r="P59" i="34"/>
  <c r="P61" i="34"/>
  <c r="P60" i="34"/>
  <c r="M35" i="37"/>
  <c r="L7" i="30"/>
  <c r="L5" i="39"/>
  <c r="M10" i="37"/>
  <c r="M11" i="37" s="1"/>
  <c r="M31" i="37" s="1"/>
  <c r="J22" i="30"/>
  <c r="K184" i="11"/>
  <c r="L6" i="30"/>
  <c r="M8" i="39"/>
  <c r="L140" i="9"/>
  <c r="I24" i="30"/>
  <c r="J118" i="12"/>
  <c r="N83" i="8"/>
  <c r="M85" i="8"/>
  <c r="J16" i="30"/>
  <c r="L128" i="9"/>
  <c r="L152" i="9"/>
  <c r="I25" i="30"/>
  <c r="K124" i="12"/>
  <c r="K116" i="12"/>
  <c r="I26" i="30"/>
  <c r="K115" i="12"/>
  <c r="K123" i="12"/>
  <c r="M138" i="9"/>
  <c r="K203" i="11"/>
  <c r="K204" i="11" s="1"/>
  <c r="J126" i="12"/>
  <c r="I23" i="30"/>
  <c r="L58" i="10"/>
  <c r="M137" i="9"/>
  <c r="K113" i="12"/>
  <c r="J15" i="30"/>
  <c r="H29" i="30"/>
  <c r="M57" i="10"/>
  <c r="M58" i="10" s="1"/>
  <c r="L9" i="30"/>
  <c r="M150" i="9"/>
  <c r="M126" i="9"/>
  <c r="M151" i="9"/>
  <c r="M127" i="9"/>
  <c r="N107" i="34"/>
  <c r="K173" i="11"/>
  <c r="K175" i="11" s="1"/>
  <c r="J19" i="30"/>
  <c r="N98" i="34"/>
  <c r="N101" i="34"/>
  <c r="N102" i="34" s="1"/>
  <c r="K195" i="11"/>
  <c r="K199" i="11" s="1"/>
  <c r="K188" i="11"/>
  <c r="K192" i="11" s="1"/>
  <c r="N93" i="8"/>
  <c r="N95" i="8" s="1"/>
  <c r="N88" i="8"/>
  <c r="N90" i="8" s="1"/>
  <c r="L134" i="11"/>
  <c r="L116" i="11"/>
  <c r="L152" i="11"/>
  <c r="L128" i="11"/>
  <c r="L118" i="11"/>
  <c r="L124" i="11"/>
  <c r="L112" i="11"/>
  <c r="L135" i="11"/>
  <c r="L115" i="11"/>
  <c r="L140" i="11"/>
  <c r="J33" i="29"/>
  <c r="L147" i="11"/>
  <c r="L195" i="11" s="1"/>
  <c r="L122" i="11"/>
  <c r="K21" i="30" s="1"/>
  <c r="M131" i="9"/>
  <c r="M143" i="9"/>
  <c r="M147" i="9" s="1"/>
  <c r="M61" i="10"/>
  <c r="M65" i="10" s="1"/>
  <c r="K178" i="11"/>
  <c r="K180" i="11" s="1"/>
  <c r="K167" i="11"/>
  <c r="K169" i="11" s="1"/>
  <c r="O106" i="34"/>
  <c r="N76" i="9"/>
  <c r="N80" i="9"/>
  <c r="N86" i="9"/>
  <c r="N82" i="9"/>
  <c r="N78" i="9"/>
  <c r="N88" i="9"/>
  <c r="M57" i="12"/>
  <c r="N84" i="9"/>
  <c r="N30" i="10"/>
  <c r="N57" i="10" s="1"/>
  <c r="N28" i="10"/>
  <c r="N56" i="10" s="1"/>
  <c r="N39" i="10"/>
  <c r="N69" i="10" s="1"/>
  <c r="N35" i="10"/>
  <c r="L75" i="12"/>
  <c r="L70" i="12"/>
  <c r="J24" i="30" s="1"/>
  <c r="L81" i="12"/>
  <c r="L66" i="12"/>
  <c r="P75" i="34"/>
  <c r="P72" i="34"/>
  <c r="P55" i="34"/>
  <c r="P57" i="34"/>
  <c r="P66" i="34"/>
  <c r="P74" i="34"/>
  <c r="P73" i="34"/>
  <c r="P70" i="34"/>
  <c r="P76" i="34"/>
  <c r="P56" i="34"/>
  <c r="P71" i="34"/>
  <c r="P52" i="34"/>
  <c r="P82" i="34"/>
  <c r="P69" i="34"/>
  <c r="P54" i="34"/>
  <c r="P53" i="34"/>
  <c r="P51" i="34"/>
  <c r="P77" i="34"/>
  <c r="P78" i="34"/>
  <c r="P62" i="34"/>
  <c r="K183" i="11"/>
  <c r="H58" i="29"/>
  <c r="H63" i="29" s="1"/>
  <c r="M105" i="11"/>
  <c r="O69" i="9"/>
  <c r="F20" i="5"/>
  <c r="M35" i="5" s="1"/>
  <c r="O61" i="12" s="1"/>
  <c r="O21" i="10"/>
  <c r="P42" i="8"/>
  <c r="K207" i="11"/>
  <c r="K209" i="11" s="1"/>
  <c r="M50" i="10"/>
  <c r="M52" i="10" s="1"/>
  <c r="L39" i="37"/>
  <c r="L7" i="37" s="1"/>
  <c r="I40" i="29"/>
  <c r="I66" i="29" s="1"/>
  <c r="I47" i="29"/>
  <c r="I67" i="29" s="1"/>
  <c r="O52" i="8"/>
  <c r="L14" i="30" s="1"/>
  <c r="K103" i="12"/>
  <c r="M130" i="11"/>
  <c r="M129" i="11"/>
  <c r="P69" i="8"/>
  <c r="P63" i="8"/>
  <c r="P64" i="8"/>
  <c r="O84" i="8"/>
  <c r="N146" i="9"/>
  <c r="O98" i="9"/>
  <c r="O95" i="9"/>
  <c r="M72" i="12"/>
  <c r="M68" i="12"/>
  <c r="M74" i="12"/>
  <c r="M73" i="12"/>
  <c r="M69" i="12"/>
  <c r="M71" i="12"/>
  <c r="M67" i="12"/>
  <c r="L13" i="30"/>
  <c r="L104" i="12"/>
  <c r="L105" i="12"/>
  <c r="L106" i="12"/>
  <c r="L168" i="11"/>
  <c r="L189" i="11"/>
  <c r="M148" i="11"/>
  <c r="M114" i="11"/>
  <c r="M113" i="11"/>
  <c r="L183" i="11"/>
  <c r="L198" i="11"/>
  <c r="I62" i="29"/>
  <c r="J51" i="29"/>
  <c r="J50" i="29"/>
  <c r="J44" i="29"/>
  <c r="J43" i="29"/>
  <c r="O94" i="9"/>
  <c r="O104" i="9"/>
  <c r="O100" i="9"/>
  <c r="O97" i="9"/>
  <c r="O103" i="9"/>
  <c r="N60" i="12"/>
  <c r="O101" i="9"/>
  <c r="L191" i="11"/>
  <c r="O42" i="10"/>
  <c r="O38" i="10"/>
  <c r="P72" i="9"/>
  <c r="I21" i="5"/>
  <c r="Q47" i="34" s="1"/>
  <c r="P24" i="10"/>
  <c r="N108" i="11"/>
  <c r="N151" i="11" s="1"/>
  <c r="N64" i="10"/>
  <c r="I61" i="29"/>
  <c r="M79" i="12"/>
  <c r="M85" i="12"/>
  <c r="M84" i="12"/>
  <c r="M78" i="12"/>
  <c r="M143" i="11"/>
  <c r="M133" i="11"/>
  <c r="M138" i="11"/>
  <c r="M132" i="11"/>
  <c r="M144" i="11"/>
  <c r="K36" i="29"/>
  <c r="M155" i="11"/>
  <c r="M156" i="11"/>
  <c r="M139" i="11"/>
  <c r="O31" i="10"/>
  <c r="O36" i="10"/>
  <c r="O29" i="10"/>
  <c r="O77" i="9"/>
  <c r="O79" i="9"/>
  <c r="H68" i="29"/>
  <c r="I60" i="29"/>
  <c r="L208" i="11"/>
  <c r="L197" i="11"/>
  <c r="M70" i="10"/>
  <c r="L196" i="11"/>
  <c r="L190" i="11"/>
  <c r="L174" i="11"/>
  <c r="N63" i="10"/>
  <c r="N51" i="10"/>
  <c r="O40" i="10"/>
  <c r="M131" i="11"/>
  <c r="K35" i="29"/>
  <c r="M154" i="11"/>
  <c r="M197" i="11" s="1"/>
  <c r="M137" i="11"/>
  <c r="M142" i="11"/>
  <c r="N107" i="11"/>
  <c r="H21" i="5"/>
  <c r="Q47" i="8"/>
  <c r="P23" i="10"/>
  <c r="P37" i="10" s="1"/>
  <c r="P71" i="9"/>
  <c r="M82" i="12"/>
  <c r="M76" i="12"/>
  <c r="O87" i="9"/>
  <c r="O85" i="9"/>
  <c r="O83" i="9"/>
  <c r="N58" i="12"/>
  <c r="O89" i="9"/>
  <c r="N62" i="10"/>
  <c r="M117" i="11"/>
  <c r="M153" i="11"/>
  <c r="M125" i="11"/>
  <c r="K34" i="29"/>
  <c r="M119" i="11"/>
  <c r="M136" i="11"/>
  <c r="M141" i="11"/>
  <c r="M77" i="12"/>
  <c r="M83" i="12"/>
  <c r="P54" i="8"/>
  <c r="P65" i="8"/>
  <c r="P67" i="8"/>
  <c r="P66" i="8"/>
  <c r="N132" i="9"/>
  <c r="N144" i="9"/>
  <c r="J42" i="29"/>
  <c r="J49" i="29"/>
  <c r="I59" i="29"/>
  <c r="O99" i="9"/>
  <c r="O96" i="9"/>
  <c r="N59" i="12"/>
  <c r="O93" i="9"/>
  <c r="O102" i="9"/>
  <c r="J48" i="29"/>
  <c r="J41" i="29"/>
  <c r="P22" i="10"/>
  <c r="G21" i="5"/>
  <c r="P70" i="9"/>
  <c r="P81" i="9" s="1"/>
  <c r="N106" i="11"/>
  <c r="M39" i="5"/>
  <c r="O62" i="12" s="1"/>
  <c r="N145" i="9"/>
  <c r="O41" i="10"/>
  <c r="L18" i="30" l="1"/>
  <c r="P94" i="8"/>
  <c r="M107" i="12"/>
  <c r="J27" i="30"/>
  <c r="M39" i="37"/>
  <c r="M7" i="37" s="1"/>
  <c r="P105" i="34"/>
  <c r="P97" i="34"/>
  <c r="M8" i="30"/>
  <c r="M5" i="39"/>
  <c r="N35" i="37"/>
  <c r="M7" i="30"/>
  <c r="Q59" i="34"/>
  <c r="Q58" i="34"/>
  <c r="Q60" i="34"/>
  <c r="Q61" i="34"/>
  <c r="N85" i="8"/>
  <c r="N10" i="37"/>
  <c r="N11" i="37" s="1"/>
  <c r="N31" i="37" s="1"/>
  <c r="N150" i="11"/>
  <c r="L202" i="11"/>
  <c r="K22" i="30"/>
  <c r="M6" i="30"/>
  <c r="N8" i="39"/>
  <c r="M140" i="9"/>
  <c r="L116" i="12"/>
  <c r="J25" i="30"/>
  <c r="L124" i="12"/>
  <c r="J26" i="30"/>
  <c r="L115" i="12"/>
  <c r="L123" i="12"/>
  <c r="K118" i="12"/>
  <c r="N61" i="10"/>
  <c r="N65" i="10" s="1"/>
  <c r="L122" i="12"/>
  <c r="L114" i="12"/>
  <c r="K126" i="12"/>
  <c r="N150" i="9"/>
  <c r="M152" i="9"/>
  <c r="I29" i="30"/>
  <c r="L179" i="11"/>
  <c r="L103" i="12"/>
  <c r="K15" i="30"/>
  <c r="N138" i="9"/>
  <c r="N50" i="10"/>
  <c r="N52" i="10" s="1"/>
  <c r="N151" i="9"/>
  <c r="L203" i="11"/>
  <c r="L204" i="11" s="1"/>
  <c r="L113" i="12"/>
  <c r="M9" i="30"/>
  <c r="L167" i="11"/>
  <c r="L169" i="11" s="1"/>
  <c r="N137" i="9"/>
  <c r="N126" i="9"/>
  <c r="L121" i="12"/>
  <c r="M128" i="9"/>
  <c r="N68" i="10"/>
  <c r="K16" i="30"/>
  <c r="J23" i="30"/>
  <c r="L207" i="11"/>
  <c r="L209" i="11" s="1"/>
  <c r="L178" i="11"/>
  <c r="N127" i="9"/>
  <c r="O83" i="8"/>
  <c r="L184" i="11"/>
  <c r="L185" i="11" s="1"/>
  <c r="K20" i="30"/>
  <c r="K19" i="30"/>
  <c r="L173" i="11"/>
  <c r="L175" i="11" s="1"/>
  <c r="K185" i="11"/>
  <c r="Q69" i="34"/>
  <c r="Q72" i="34"/>
  <c r="Q82" i="34"/>
  <c r="Q75" i="34"/>
  <c r="Q70" i="34"/>
  <c r="Q55" i="34"/>
  <c r="Q66" i="34"/>
  <c r="Q74" i="34"/>
  <c r="Q73" i="34"/>
  <c r="Q76" i="34"/>
  <c r="Q57" i="34"/>
  <c r="Q52" i="34"/>
  <c r="Q56" i="34"/>
  <c r="Q71" i="34"/>
  <c r="Q54" i="34"/>
  <c r="Q53" i="34"/>
  <c r="Q51" i="34"/>
  <c r="Q77" i="34"/>
  <c r="Q78" i="34"/>
  <c r="Q62" i="34"/>
  <c r="O30" i="10"/>
  <c r="M18" i="30" s="1"/>
  <c r="O35" i="10"/>
  <c r="O68" i="10" s="1"/>
  <c r="O39" i="10"/>
  <c r="O69" i="10" s="1"/>
  <c r="O28" i="10"/>
  <c r="O56" i="10" s="1"/>
  <c r="P106" i="34"/>
  <c r="N131" i="9"/>
  <c r="N133" i="9" s="1"/>
  <c r="N143" i="9"/>
  <c r="N147" i="9" s="1"/>
  <c r="O107" i="34"/>
  <c r="J40" i="29"/>
  <c r="J47" i="29"/>
  <c r="J67" i="29" s="1"/>
  <c r="Q42" i="8"/>
  <c r="P21" i="10"/>
  <c r="F21" i="5"/>
  <c r="P69" i="9"/>
  <c r="N105" i="11"/>
  <c r="M133" i="9"/>
  <c r="O93" i="8"/>
  <c r="O95" i="8" s="1"/>
  <c r="O88" i="8"/>
  <c r="O90" i="8" s="1"/>
  <c r="I58" i="29"/>
  <c r="O84" i="9"/>
  <c r="O76" i="9"/>
  <c r="O80" i="9"/>
  <c r="O88" i="9"/>
  <c r="O82" i="9"/>
  <c r="O78" i="9"/>
  <c r="N57" i="12"/>
  <c r="O86" i="9"/>
  <c r="M66" i="12"/>
  <c r="M70" i="12"/>
  <c r="M114" i="12" s="1"/>
  <c r="M75" i="12"/>
  <c r="M81" i="12"/>
  <c r="P52" i="8"/>
  <c r="P83" i="8" s="1"/>
  <c r="M134" i="11"/>
  <c r="M115" i="11"/>
  <c r="M128" i="11"/>
  <c r="M118" i="11"/>
  <c r="M135" i="11"/>
  <c r="M152" i="11"/>
  <c r="M112" i="11"/>
  <c r="M178" i="11" s="1"/>
  <c r="M116" i="11"/>
  <c r="M140" i="11"/>
  <c r="M124" i="11"/>
  <c r="K33" i="29"/>
  <c r="M122" i="11"/>
  <c r="M147" i="11"/>
  <c r="O101" i="34"/>
  <c r="O102" i="34" s="1"/>
  <c r="O98" i="34"/>
  <c r="L188" i="11"/>
  <c r="L192" i="11" s="1"/>
  <c r="L17" i="30"/>
  <c r="N130" i="11"/>
  <c r="N129" i="11"/>
  <c r="P84" i="8"/>
  <c r="Q69" i="8"/>
  <c r="Q64" i="8"/>
  <c r="Q63" i="8"/>
  <c r="O146" i="9"/>
  <c r="P98" i="9"/>
  <c r="P95" i="9"/>
  <c r="N72" i="12"/>
  <c r="N68" i="12"/>
  <c r="N71" i="12"/>
  <c r="N67" i="12"/>
  <c r="N73" i="12"/>
  <c r="N74" i="12"/>
  <c r="N69" i="12"/>
  <c r="M104" i="12"/>
  <c r="M106" i="12"/>
  <c r="M13" i="30"/>
  <c r="M105" i="12"/>
  <c r="M189" i="11"/>
  <c r="M168" i="11"/>
  <c r="N148" i="11"/>
  <c r="N114" i="11"/>
  <c r="N113" i="11"/>
  <c r="N123" i="11"/>
  <c r="M198" i="11"/>
  <c r="N58" i="10"/>
  <c r="I68" i="29"/>
  <c r="J61" i="29"/>
  <c r="M191" i="11"/>
  <c r="L36" i="29"/>
  <c r="N133" i="11"/>
  <c r="N144" i="11"/>
  <c r="N156" i="11"/>
  <c r="N143" i="11"/>
  <c r="N138" i="11"/>
  <c r="N155" i="11"/>
  <c r="N132" i="11"/>
  <c r="N139" i="11"/>
  <c r="P101" i="9"/>
  <c r="O60" i="12"/>
  <c r="P97" i="9"/>
  <c r="P103" i="9"/>
  <c r="P100" i="9"/>
  <c r="P94" i="9"/>
  <c r="P104" i="9"/>
  <c r="N85" i="12"/>
  <c r="N78" i="12"/>
  <c r="N84" i="12"/>
  <c r="N79" i="12"/>
  <c r="J62" i="29"/>
  <c r="K43" i="29"/>
  <c r="K50" i="29"/>
  <c r="K44" i="29"/>
  <c r="K51" i="29"/>
  <c r="P42" i="10"/>
  <c r="P38" i="10"/>
  <c r="Q72" i="9"/>
  <c r="O108" i="11"/>
  <c r="O64" i="10"/>
  <c r="P31" i="10"/>
  <c r="P36" i="10"/>
  <c r="P29" i="10"/>
  <c r="P77" i="9"/>
  <c r="P79" i="9"/>
  <c r="L199" i="11"/>
  <c r="N70" i="10"/>
  <c r="M184" i="11"/>
  <c r="M174" i="11"/>
  <c r="O63" i="10"/>
  <c r="M203" i="11"/>
  <c r="P40" i="10"/>
  <c r="O145" i="9"/>
  <c r="M208" i="11"/>
  <c r="M196" i="11"/>
  <c r="P102" i="9"/>
  <c r="P96" i="9"/>
  <c r="P93" i="9"/>
  <c r="O59" i="12"/>
  <c r="P99" i="9"/>
  <c r="L35" i="29"/>
  <c r="N131" i="11"/>
  <c r="N142" i="11"/>
  <c r="N137" i="11"/>
  <c r="N154" i="11"/>
  <c r="K42" i="29"/>
  <c r="K49" i="29"/>
  <c r="O51" i="10"/>
  <c r="N149" i="11"/>
  <c r="N117" i="11"/>
  <c r="N125" i="11"/>
  <c r="N141" i="11"/>
  <c r="N119" i="11"/>
  <c r="L34" i="29"/>
  <c r="N136" i="11"/>
  <c r="N153" i="11"/>
  <c r="N83" i="12"/>
  <c r="N77" i="12"/>
  <c r="J60" i="29"/>
  <c r="K48" i="29"/>
  <c r="K41" i="29"/>
  <c r="P41" i="10"/>
  <c r="M190" i="11"/>
  <c r="P83" i="9"/>
  <c r="P87" i="9"/>
  <c r="P85" i="9"/>
  <c r="P89" i="9"/>
  <c r="O58" i="12"/>
  <c r="J59" i="29"/>
  <c r="Q65" i="8"/>
  <c r="Q54" i="8"/>
  <c r="Q66" i="8"/>
  <c r="Q67" i="8"/>
  <c r="O62" i="10"/>
  <c r="O106" i="11"/>
  <c r="Q70" i="9"/>
  <c r="Q81" i="9" s="1"/>
  <c r="N39" i="5"/>
  <c r="P62" i="12" s="1"/>
  <c r="N35" i="5"/>
  <c r="P61" i="12" s="1"/>
  <c r="N82" i="12"/>
  <c r="N76" i="12"/>
  <c r="O132" i="9"/>
  <c r="O144" i="9"/>
  <c r="Q71" i="9"/>
  <c r="O107" i="11"/>
  <c r="L180" i="11" l="1"/>
  <c r="M17" i="30"/>
  <c r="N107" i="12"/>
  <c r="M179" i="11"/>
  <c r="M180" i="11" s="1"/>
  <c r="N140" i="9"/>
  <c r="Q105" i="34"/>
  <c r="Q97" i="34"/>
  <c r="Q94" i="8"/>
  <c r="N7" i="30"/>
  <c r="O7" i="30" s="1"/>
  <c r="O35" i="37"/>
  <c r="P35" i="37" s="1"/>
  <c r="N8" i="30"/>
  <c r="O8" i="30" s="1"/>
  <c r="N152" i="9"/>
  <c r="O10" i="37"/>
  <c r="O11" i="37" s="1"/>
  <c r="O31" i="37" s="1"/>
  <c r="L20" i="30"/>
  <c r="J58" i="29"/>
  <c r="J63" i="29" s="1"/>
  <c r="N6" i="30"/>
  <c r="O6" i="30" s="1"/>
  <c r="O8" i="39"/>
  <c r="N5" i="39"/>
  <c r="L118" i="12"/>
  <c r="O85" i="8"/>
  <c r="K25" i="30"/>
  <c r="M116" i="12"/>
  <c r="M124" i="12"/>
  <c r="M123" i="12"/>
  <c r="K26" i="30"/>
  <c r="M115" i="12"/>
  <c r="J29" i="30"/>
  <c r="M122" i="12"/>
  <c r="K24" i="30"/>
  <c r="L126" i="12"/>
  <c r="M167" i="11"/>
  <c r="M169" i="11" s="1"/>
  <c r="M188" i="11"/>
  <c r="M192" i="11" s="1"/>
  <c r="O151" i="9"/>
  <c r="P107" i="34"/>
  <c r="M103" i="12"/>
  <c r="O150" i="9"/>
  <c r="N128" i="9"/>
  <c r="O57" i="10"/>
  <c r="O137" i="9"/>
  <c r="O138" i="9"/>
  <c r="M14" i="30"/>
  <c r="L16" i="30"/>
  <c r="O127" i="9"/>
  <c r="L15" i="30"/>
  <c r="I63" i="29"/>
  <c r="K23" i="30"/>
  <c r="M113" i="12"/>
  <c r="M202" i="11"/>
  <c r="M204" i="11" s="1"/>
  <c r="L22" i="30"/>
  <c r="O50" i="10"/>
  <c r="O52" i="10" s="1"/>
  <c r="J66" i="29"/>
  <c r="O126" i="9"/>
  <c r="N9" i="30"/>
  <c r="O9" i="30" s="1"/>
  <c r="M121" i="12"/>
  <c r="K27" i="30"/>
  <c r="L19" i="30"/>
  <c r="M195" i="11"/>
  <c r="M199" i="11" s="1"/>
  <c r="N75" i="12"/>
  <c r="N66" i="12"/>
  <c r="L23" i="30" s="1"/>
  <c r="N70" i="12"/>
  <c r="L24" i="30" s="1"/>
  <c r="N81" i="12"/>
  <c r="N39" i="37"/>
  <c r="N7" i="37" s="1"/>
  <c r="N112" i="11"/>
  <c r="N152" i="11"/>
  <c r="N208" i="11" s="1"/>
  <c r="N116" i="11"/>
  <c r="N115" i="11"/>
  <c r="N134" i="11"/>
  <c r="N118" i="11"/>
  <c r="N140" i="11"/>
  <c r="N128" i="11"/>
  <c r="N135" i="11"/>
  <c r="N124" i="11"/>
  <c r="L33" i="29"/>
  <c r="N147" i="11"/>
  <c r="N122" i="11"/>
  <c r="Q52" i="8"/>
  <c r="N14" i="30" s="1"/>
  <c r="M207" i="11"/>
  <c r="M209" i="11" s="1"/>
  <c r="Q106" i="34"/>
  <c r="L21" i="30"/>
  <c r="M183" i="11"/>
  <c r="M173" i="11"/>
  <c r="M175" i="11" s="1"/>
  <c r="O131" i="9"/>
  <c r="O143" i="9"/>
  <c r="O147" i="9" s="1"/>
  <c r="P78" i="9"/>
  <c r="P76" i="9"/>
  <c r="P80" i="9"/>
  <c r="O57" i="12"/>
  <c r="P84" i="9"/>
  <c r="P82" i="9"/>
  <c r="P88" i="9"/>
  <c r="P86" i="9"/>
  <c r="K40" i="29"/>
  <c r="K66" i="29" s="1"/>
  <c r="K47" i="29"/>
  <c r="P93" i="8"/>
  <c r="P95" i="8" s="1"/>
  <c r="P88" i="8"/>
  <c r="P90" i="8" s="1"/>
  <c r="P98" i="34"/>
  <c r="P101" i="34"/>
  <c r="P102" i="34" s="1"/>
  <c r="O105" i="11"/>
  <c r="Q69" i="9"/>
  <c r="P30" i="10"/>
  <c r="N18" i="30" s="1"/>
  <c r="O18" i="30" s="1"/>
  <c r="P35" i="10"/>
  <c r="P68" i="10" s="1"/>
  <c r="P28" i="10"/>
  <c r="P56" i="10" s="1"/>
  <c r="P39" i="10"/>
  <c r="P69" i="10" s="1"/>
  <c r="O61" i="10"/>
  <c r="O65" i="10" s="1"/>
  <c r="O130" i="11"/>
  <c r="O129" i="11"/>
  <c r="Q84" i="8"/>
  <c r="N196" i="11"/>
  <c r="P146" i="9"/>
  <c r="Q98" i="9"/>
  <c r="Q95" i="9"/>
  <c r="O67" i="12"/>
  <c r="O71" i="12"/>
  <c r="O74" i="12"/>
  <c r="O73" i="12"/>
  <c r="O69" i="12"/>
  <c r="O68" i="12"/>
  <c r="O72" i="12"/>
  <c r="N13" i="30"/>
  <c r="O13" i="30" s="1"/>
  <c r="N106" i="12"/>
  <c r="N104" i="12"/>
  <c r="N105" i="12"/>
  <c r="N189" i="11"/>
  <c r="N168" i="11"/>
  <c r="O114" i="11"/>
  <c r="O113" i="11"/>
  <c r="K62" i="29"/>
  <c r="N198" i="11"/>
  <c r="Q100" i="9"/>
  <c r="Q103" i="9"/>
  <c r="Q94" i="9"/>
  <c r="Q101" i="9"/>
  <c r="Q104" i="9"/>
  <c r="P60" i="12"/>
  <c r="Q97" i="9"/>
  <c r="K61" i="29"/>
  <c r="O85" i="12"/>
  <c r="O78" i="12"/>
  <c r="O84" i="12"/>
  <c r="O79" i="12"/>
  <c r="L44" i="29"/>
  <c r="L43" i="29"/>
  <c r="L50" i="29"/>
  <c r="L51" i="29"/>
  <c r="M36" i="29"/>
  <c r="O138" i="11"/>
  <c r="O144" i="11"/>
  <c r="O150" i="11"/>
  <c r="O155" i="11"/>
  <c r="O133" i="11"/>
  <c r="O132" i="11"/>
  <c r="O156" i="11"/>
  <c r="O143" i="11"/>
  <c r="O139" i="11"/>
  <c r="O151" i="11"/>
  <c r="P64" i="10"/>
  <c r="N191" i="11"/>
  <c r="Q77" i="9"/>
  <c r="Q79" i="9"/>
  <c r="J68" i="29"/>
  <c r="K60" i="29"/>
  <c r="N174" i="11"/>
  <c r="O70" i="10"/>
  <c r="P63" i="10"/>
  <c r="P85" i="8"/>
  <c r="O142" i="11"/>
  <c r="O137" i="11"/>
  <c r="M35" i="29"/>
  <c r="O154" i="11"/>
  <c r="O131" i="11"/>
  <c r="O149" i="11"/>
  <c r="P51" i="10"/>
  <c r="L48" i="29"/>
  <c r="L41" i="29"/>
  <c r="N197" i="11"/>
  <c r="L42" i="29"/>
  <c r="L49" i="29"/>
  <c r="Q102" i="9"/>
  <c r="Q93" i="9"/>
  <c r="P59" i="12"/>
  <c r="Q96" i="9"/>
  <c r="Q99" i="9"/>
  <c r="M34" i="29"/>
  <c r="O153" i="11"/>
  <c r="O125" i="11"/>
  <c r="O117" i="11"/>
  <c r="O119" i="11"/>
  <c r="O141" i="11"/>
  <c r="O136" i="11"/>
  <c r="O123" i="11"/>
  <c r="O148" i="11"/>
  <c r="P144" i="9"/>
  <c r="P132" i="9"/>
  <c r="K59" i="29"/>
  <c r="O77" i="12"/>
  <c r="O83" i="12"/>
  <c r="P62" i="10"/>
  <c r="Q83" i="9"/>
  <c r="Q89" i="9"/>
  <c r="Q87" i="9"/>
  <c r="Q85" i="9"/>
  <c r="P58" i="12"/>
  <c r="O82" i="12"/>
  <c r="O76" i="12"/>
  <c r="N190" i="11"/>
  <c r="P145" i="9"/>
  <c r="P57" i="10" l="1"/>
  <c r="O107" i="12"/>
  <c r="N184" i="11"/>
  <c r="M22" i="30"/>
  <c r="N195" i="11"/>
  <c r="N173" i="11"/>
  <c r="O39" i="37"/>
  <c r="O7" i="37" s="1"/>
  <c r="Q83" i="8"/>
  <c r="R83" i="8" s="1"/>
  <c r="O5" i="39"/>
  <c r="P5" i="39" s="1"/>
  <c r="L27" i="30"/>
  <c r="M19" i="30"/>
  <c r="O140" i="9"/>
  <c r="N179" i="11"/>
  <c r="N123" i="12"/>
  <c r="L26" i="30"/>
  <c r="N115" i="12"/>
  <c r="O152" i="9"/>
  <c r="N124" i="12"/>
  <c r="L25" i="30"/>
  <c r="N116" i="12"/>
  <c r="M126" i="12"/>
  <c r="M118" i="12"/>
  <c r="N114" i="12"/>
  <c r="N122" i="12"/>
  <c r="K29" i="30"/>
  <c r="Q107" i="34"/>
  <c r="P127" i="9"/>
  <c r="N121" i="12"/>
  <c r="N113" i="12"/>
  <c r="P138" i="9"/>
  <c r="M20" i="30"/>
  <c r="O58" i="10"/>
  <c r="P150" i="9"/>
  <c r="N203" i="11"/>
  <c r="M15" i="30"/>
  <c r="P126" i="9"/>
  <c r="M16" i="30"/>
  <c r="P151" i="9"/>
  <c r="O128" i="9"/>
  <c r="P137" i="9"/>
  <c r="N175" i="11"/>
  <c r="N178" i="11"/>
  <c r="N188" i="11"/>
  <c r="N192" i="11" s="1"/>
  <c r="K67" i="29"/>
  <c r="M21" i="30"/>
  <c r="M185" i="11"/>
  <c r="N207" i="11"/>
  <c r="N209" i="11" s="1"/>
  <c r="N202" i="11"/>
  <c r="P50" i="10"/>
  <c r="P52" i="10" s="1"/>
  <c r="N103" i="12"/>
  <c r="P61" i="10"/>
  <c r="P65" i="10" s="1"/>
  <c r="K58" i="29"/>
  <c r="K63" i="29" s="1"/>
  <c r="P143" i="9"/>
  <c r="P147" i="9" s="1"/>
  <c r="P131" i="9"/>
  <c r="Q98" i="34"/>
  <c r="Q101" i="34"/>
  <c r="Q102" i="34" s="1"/>
  <c r="Q82" i="9"/>
  <c r="Q78" i="9"/>
  <c r="Q88" i="9"/>
  <c r="Q76" i="9"/>
  <c r="P57" i="12"/>
  <c r="Q84" i="9"/>
  <c r="Q80" i="9"/>
  <c r="Q86" i="9"/>
  <c r="N167" i="11"/>
  <c r="N169" i="11" s="1"/>
  <c r="O133" i="9"/>
  <c r="O134" i="11"/>
  <c r="O116" i="11"/>
  <c r="O128" i="11"/>
  <c r="O118" i="11"/>
  <c r="O152" i="11"/>
  <c r="O208" i="11" s="1"/>
  <c r="O112" i="11"/>
  <c r="O135" i="11"/>
  <c r="O124" i="11"/>
  <c r="O140" i="11"/>
  <c r="O115" i="11"/>
  <c r="M33" i="29"/>
  <c r="O122" i="11"/>
  <c r="O173" i="11" s="1"/>
  <c r="O147" i="11"/>
  <c r="O195" i="11" s="1"/>
  <c r="O66" i="12"/>
  <c r="M23" i="30" s="1"/>
  <c r="O81" i="12"/>
  <c r="O70" i="12"/>
  <c r="M24" i="30" s="1"/>
  <c r="O75" i="12"/>
  <c r="P31" i="37"/>
  <c r="P39" i="37" s="1"/>
  <c r="N183" i="11"/>
  <c r="Q88" i="8"/>
  <c r="Q90" i="8" s="1"/>
  <c r="Q93" i="8"/>
  <c r="Q95" i="8" s="1"/>
  <c r="L47" i="29"/>
  <c r="L40" i="29"/>
  <c r="L66" i="29" s="1"/>
  <c r="N17" i="30"/>
  <c r="O17" i="30" s="1"/>
  <c r="N22" i="30"/>
  <c r="O22" i="30" s="1"/>
  <c r="N199" i="11"/>
  <c r="Q146" i="9"/>
  <c r="P71" i="12"/>
  <c r="P67" i="12"/>
  <c r="P72" i="12"/>
  <c r="P68" i="12"/>
  <c r="P69" i="12"/>
  <c r="P73" i="12"/>
  <c r="P74" i="12"/>
  <c r="P42" i="37"/>
  <c r="O104" i="12"/>
  <c r="O105" i="12"/>
  <c r="O106" i="12"/>
  <c r="O14" i="30"/>
  <c r="O189" i="11"/>
  <c r="O168" i="11"/>
  <c r="L62" i="29"/>
  <c r="L61" i="29"/>
  <c r="O28" i="30"/>
  <c r="P58" i="10"/>
  <c r="O198" i="11"/>
  <c r="P79" i="12"/>
  <c r="P78" i="12"/>
  <c r="P84" i="12"/>
  <c r="P85" i="12"/>
  <c r="M51" i="29"/>
  <c r="M43" i="29"/>
  <c r="M50" i="29"/>
  <c r="M44" i="29"/>
  <c r="O191" i="11"/>
  <c r="N21" i="30"/>
  <c r="O184" i="11"/>
  <c r="L60" i="29"/>
  <c r="O190" i="11"/>
  <c r="O196" i="11"/>
  <c r="P83" i="12"/>
  <c r="P77" i="12"/>
  <c r="P70" i="10"/>
  <c r="O197" i="11"/>
  <c r="M42" i="29"/>
  <c r="M49" i="29"/>
  <c r="Q132" i="9"/>
  <c r="Q144" i="9"/>
  <c r="O174" i="11"/>
  <c r="O183" i="11"/>
  <c r="Q145" i="9"/>
  <c r="L59" i="29"/>
  <c r="P82" i="12"/>
  <c r="P76" i="12"/>
  <c r="M48" i="29"/>
  <c r="M41" i="29"/>
  <c r="P152" i="9" l="1"/>
  <c r="P140" i="9"/>
  <c r="Q85" i="8"/>
  <c r="P107" i="12"/>
  <c r="M27" i="30"/>
  <c r="L67" i="29"/>
  <c r="O202" i="11"/>
  <c r="L29" i="30"/>
  <c r="N180" i="11"/>
  <c r="L58" i="29"/>
  <c r="N185" i="11"/>
  <c r="P128" i="9"/>
  <c r="M25" i="30"/>
  <c r="O116" i="12"/>
  <c r="O124" i="12"/>
  <c r="M26" i="30"/>
  <c r="O123" i="12"/>
  <c r="O115" i="12"/>
  <c r="O114" i="12"/>
  <c r="N126" i="12"/>
  <c r="N118" i="12"/>
  <c r="O122" i="12"/>
  <c r="O203" i="11"/>
  <c r="N15" i="30"/>
  <c r="O15" i="30" s="1"/>
  <c r="Q126" i="9"/>
  <c r="O113" i="12"/>
  <c r="Q151" i="9"/>
  <c r="N16" i="30"/>
  <c r="O16" i="30" s="1"/>
  <c r="N204" i="11"/>
  <c r="O103" i="12"/>
  <c r="Q137" i="9"/>
  <c r="Q150" i="9"/>
  <c r="O179" i="11"/>
  <c r="O21" i="30"/>
  <c r="O178" i="11"/>
  <c r="Q138" i="9"/>
  <c r="O121" i="12"/>
  <c r="Q127" i="9"/>
  <c r="O207" i="11"/>
  <c r="O209" i="11" s="1"/>
  <c r="N20" i="30"/>
  <c r="O20" i="30" s="1"/>
  <c r="K68" i="29"/>
  <c r="N19" i="30"/>
  <c r="O19" i="30" s="1"/>
  <c r="O167" i="11"/>
  <c r="O169" i="11" s="1"/>
  <c r="Q143" i="9"/>
  <c r="Q147" i="9" s="1"/>
  <c r="Q131" i="9"/>
  <c r="M40" i="29"/>
  <c r="M47" i="29"/>
  <c r="M67" i="29" s="1"/>
  <c r="O188" i="11"/>
  <c r="O192" i="11" s="1"/>
  <c r="P70" i="12"/>
  <c r="P122" i="12" s="1"/>
  <c r="P75" i="12"/>
  <c r="P66" i="12"/>
  <c r="P113" i="12" s="1"/>
  <c r="P81" i="12"/>
  <c r="P133" i="9"/>
  <c r="P7" i="37"/>
  <c r="P106" i="12"/>
  <c r="P104" i="12"/>
  <c r="P105" i="12"/>
  <c r="M61" i="29"/>
  <c r="M62" i="29"/>
  <c r="O185" i="11"/>
  <c r="L63" i="29"/>
  <c r="O199" i="11"/>
  <c r="O175" i="11"/>
  <c r="M59" i="29"/>
  <c r="M66" i="29"/>
  <c r="M60" i="29"/>
  <c r="L68" i="29"/>
  <c r="Q128" i="9" l="1"/>
  <c r="O204" i="11"/>
  <c r="P121" i="12"/>
  <c r="N27" i="30"/>
  <c r="O27" i="30" s="1"/>
  <c r="O180" i="11"/>
  <c r="Q140" i="9"/>
  <c r="N26" i="30"/>
  <c r="O26" i="30" s="1"/>
  <c r="P115" i="12"/>
  <c r="P123" i="12"/>
  <c r="P116" i="12"/>
  <c r="P124" i="12"/>
  <c r="N25" i="30"/>
  <c r="O25" i="30" s="1"/>
  <c r="N23" i="30"/>
  <c r="O23" i="30" s="1"/>
  <c r="M29" i="30"/>
  <c r="O118" i="12"/>
  <c r="Q152" i="9"/>
  <c r="O126" i="12"/>
  <c r="N24" i="30"/>
  <c r="O24" i="30" s="1"/>
  <c r="P114" i="12"/>
  <c r="P103" i="12"/>
  <c r="M58" i="29"/>
  <c r="M63" i="29" s="1"/>
  <c r="Q133" i="9"/>
  <c r="M68" i="29"/>
  <c r="P126" i="12" l="1"/>
  <c r="N29" i="30"/>
  <c r="O29" i="30"/>
  <c r="P13" i="30" s="1"/>
  <c r="P118" i="12"/>
  <c r="P22" i="30" l="1"/>
  <c r="P10" i="30"/>
  <c r="P19" i="30"/>
  <c r="P23" i="30"/>
  <c r="P28" i="30"/>
  <c r="P6" i="30"/>
  <c r="P16" i="30"/>
  <c r="P20" i="30"/>
  <c r="P7" i="30"/>
  <c r="P11" i="30"/>
  <c r="P8" i="30"/>
  <c r="P9" i="30"/>
  <c r="P18" i="30"/>
  <c r="P25" i="30"/>
  <c r="P24" i="30"/>
  <c r="P27" i="30"/>
  <c r="P12" i="30"/>
  <c r="P21" i="30"/>
  <c r="P14" i="30"/>
  <c r="P15" i="30"/>
  <c r="P26" i="30"/>
  <c r="P17" i="30"/>
  <c r="P29" i="30" l="1"/>
  <c r="E109" i="12" l="1"/>
  <c r="E62" i="2"/>
  <c r="E63" i="2" l="1"/>
  <c r="E71" i="2"/>
  <c r="E81" i="2" l="1"/>
  <c r="E72" i="2"/>
  <c r="C31" i="30"/>
  <c r="C32" i="30" s="1"/>
  <c r="E65" i="2"/>
  <c r="E82" i="2" l="1"/>
  <c r="F109" i="12" l="1"/>
  <c r="L109" i="12"/>
  <c r="J109" i="12"/>
  <c r="N109" i="12"/>
  <c r="I109" i="12"/>
  <c r="K109" i="12"/>
  <c r="M109" i="12"/>
  <c r="P109" i="12"/>
  <c r="G109" i="12"/>
  <c r="O109" i="12"/>
  <c r="H109" i="12"/>
  <c r="G62" i="2"/>
  <c r="G71" i="2" s="1"/>
  <c r="G72" i="2" s="1"/>
  <c r="F62" i="2"/>
  <c r="H62" i="2"/>
  <c r="H63" i="2" s="1"/>
  <c r="J62" i="2" l="1"/>
  <c r="J63" i="2" s="1"/>
  <c r="F71" i="2"/>
  <c r="H71" i="2"/>
  <c r="I31" i="30"/>
  <c r="I32" i="30" s="1"/>
  <c r="M31" i="30"/>
  <c r="M32" i="30" s="1"/>
  <c r="H65" i="2"/>
  <c r="F31" i="30"/>
  <c r="F32" i="30" s="1"/>
  <c r="F63" i="2"/>
  <c r="G63" i="2"/>
  <c r="K31" i="30"/>
  <c r="K32" i="30" s="1"/>
  <c r="J31" i="30"/>
  <c r="J32" i="30" s="1"/>
  <c r="G81" i="2"/>
  <c r="F72" i="2" l="1"/>
  <c r="J71" i="2"/>
  <c r="J72" i="2" s="1"/>
  <c r="H31" i="30"/>
  <c r="H32" i="30" s="1"/>
  <c r="F81" i="2"/>
  <c r="H72" i="2"/>
  <c r="H81" i="2"/>
  <c r="G82" i="2"/>
  <c r="G31" i="30"/>
  <c r="G32" i="30" s="1"/>
  <c r="G65" i="2"/>
  <c r="E31" i="30"/>
  <c r="E32" i="30" s="1"/>
  <c r="F65" i="2"/>
  <c r="D31" i="30"/>
  <c r="D32" i="30" s="1"/>
  <c r="L31" i="30"/>
  <c r="L32" i="30" s="1"/>
  <c r="N31" i="30"/>
  <c r="N32" i="30" s="1"/>
  <c r="F82" i="2" l="1"/>
  <c r="J81" i="2"/>
  <c r="J82" i="2" s="1"/>
  <c r="H82" i="2"/>
  <c r="O30" i="30" l="1"/>
  <c r="O31" i="30" s="1"/>
</calcChain>
</file>

<file path=xl/sharedStrings.xml><?xml version="1.0" encoding="utf-8"?>
<sst xmlns="http://schemas.openxmlformats.org/spreadsheetml/2006/main" count="2424" uniqueCount="944">
  <si>
    <t>Los Angeles</t>
  </si>
  <si>
    <t>Long Beach</t>
  </si>
  <si>
    <t>Oakland</t>
  </si>
  <si>
    <t>San Francisco</t>
  </si>
  <si>
    <t>San Diego</t>
  </si>
  <si>
    <t>Hueneme</t>
  </si>
  <si>
    <t># Land-Based Capture &amp; Control Systems</t>
  </si>
  <si>
    <t># Barge-Based Capture &amp; Control Systems</t>
  </si>
  <si>
    <t>Total</t>
  </si>
  <si>
    <t># New Shoreside Cable Reels</t>
  </si>
  <si>
    <t>% of Costs Borne by Port</t>
  </si>
  <si>
    <t>% of Costs Borne by Terminal</t>
  </si>
  <si>
    <t>Shore Power Labor Costs</t>
  </si>
  <si>
    <t>Container/ Reefer</t>
  </si>
  <si>
    <t>Cruise</t>
  </si>
  <si>
    <t>Units</t>
  </si>
  <si>
    <t>$ per vessel visit</t>
  </si>
  <si>
    <t>Shore Power Electricity Costs</t>
  </si>
  <si>
    <t>Shore Power Fuel Savings</t>
  </si>
  <si>
    <t>Shore Power Vessel Retrofit Capital Costs</t>
  </si>
  <si>
    <t>Shore Power Vessel Retrofit Maintenance Costs</t>
  </si>
  <si>
    <t>Cost Incurred by</t>
  </si>
  <si>
    <t>#</t>
  </si>
  <si>
    <t>Annual Inputs</t>
  </si>
  <si>
    <t>Fixed Inputs</t>
  </si>
  <si>
    <t>Value</t>
  </si>
  <si>
    <t>Labor Costs</t>
  </si>
  <si>
    <t>%</t>
  </si>
  <si>
    <t>CRF (5%, 10 years) for vessels</t>
  </si>
  <si>
    <t>Capture &amp; Control Costs</t>
  </si>
  <si>
    <t>Vessel Operator</t>
  </si>
  <si>
    <t>Terminal</t>
  </si>
  <si>
    <t>years</t>
  </si>
  <si>
    <t>SP Berth Retrofit Maintenance Costs</t>
  </si>
  <si>
    <t>Ports</t>
  </si>
  <si>
    <t>Terminals</t>
  </si>
  <si>
    <t>Alternative 1</t>
  </si>
  <si>
    <t>Alternative 2</t>
  </si>
  <si>
    <t>Shore Power Berth Retrofit Costs</t>
  </si>
  <si>
    <t>Shore Power Vessel Retrofit Costs</t>
  </si>
  <si>
    <t>Administrative Costs</t>
  </si>
  <si>
    <t>Costs (All Adjusted for Annual Growth)
Alternative 1</t>
  </si>
  <si>
    <t>Costs (All Adjusted for Annual Growth)
Alternative 2</t>
  </si>
  <si>
    <t>Average Container/Reefer Vessel Power</t>
  </si>
  <si>
    <t>Average Cruise Vessel Power</t>
  </si>
  <si>
    <t>g/kW-hr</t>
  </si>
  <si>
    <t>$/MT</t>
  </si>
  <si>
    <t>$/kW-hr</t>
  </si>
  <si>
    <t>Cost Savings Incurred by</t>
  </si>
  <si>
    <t>Shore Power Labor and Energy Costs and Cost Savings</t>
  </si>
  <si>
    <t>Port Plan Unit Cost</t>
  </si>
  <si>
    <t>Terminal Plan Unit Cost</t>
  </si>
  <si>
    <t>$ per plan</t>
  </si>
  <si>
    <t>$ per PY</t>
  </si>
  <si>
    <t>CARB</t>
  </si>
  <si>
    <t>Cost of Port Plans</t>
  </si>
  <si>
    <t>Cost of Terminal Plans</t>
  </si>
  <si>
    <t>Cost of Vessel Reporting</t>
  </si>
  <si>
    <t>Cost of Terminal Reporting</t>
  </si>
  <si>
    <t>Port</t>
  </si>
  <si>
    <t>Content</t>
  </si>
  <si>
    <t>Tab</t>
  </si>
  <si>
    <t>Description</t>
  </si>
  <si>
    <t>Summary Tables</t>
  </si>
  <si>
    <t>Data Inputs</t>
  </si>
  <si>
    <t>Summary</t>
  </si>
  <si>
    <t>Cost Inputs</t>
  </si>
  <si>
    <t>Electricity &amp; Fuel</t>
  </si>
  <si>
    <t>Growth</t>
  </si>
  <si>
    <t>SP Labor &amp; Energy</t>
  </si>
  <si>
    <t>Admin</t>
  </si>
  <si>
    <t>Annual industry growth factors by vessel type</t>
  </si>
  <si>
    <t>Shore power berth retrofit capital and maintenance costs</t>
  </si>
  <si>
    <t>Shore power vessel retrofit capital and maintenance costs</t>
  </si>
  <si>
    <t>Shore power labor &amp; energy costs and cost savings</t>
  </si>
  <si>
    <t>Total:</t>
  </si>
  <si>
    <t>Summary of Annualized Costs by Vessel Type</t>
  </si>
  <si>
    <t>Vessel Type</t>
  </si>
  <si>
    <t>Cruise Vessels</t>
  </si>
  <si>
    <t>--</t>
  </si>
  <si>
    <t>Year</t>
  </si>
  <si>
    <t>Container/Reefer</t>
  </si>
  <si>
    <t>Crude Tankers</t>
  </si>
  <si>
    <t>Product Tankers</t>
  </si>
  <si>
    <t>Total - All Vessel Types</t>
  </si>
  <si>
    <t>Electricity and Fuel Inputs</t>
  </si>
  <si>
    <t>Electricity Rate Growth Projections</t>
  </si>
  <si>
    <t>Utility:</t>
  </si>
  <si>
    <t>PG&amp;E</t>
  </si>
  <si>
    <t>LADWP</t>
  </si>
  <si>
    <t>SDG&amp;E</t>
  </si>
  <si>
    <t>SCE</t>
  </si>
  <si>
    <t>LCFS Credit for Shore Power</t>
  </si>
  <si>
    <t>percent</t>
  </si>
  <si>
    <t>MGO Price Growth Projections</t>
  </si>
  <si>
    <t>Current Fuel Price Assumption $/MT</t>
  </si>
  <si>
    <t>Annual Growth</t>
  </si>
  <si>
    <t>Future Fuel Price Assumption $/MT</t>
  </si>
  <si>
    <t>Industry Growth Factors</t>
  </si>
  <si>
    <t>Annual Growth Rates</t>
  </si>
  <si>
    <t>Compound Growth Rates</t>
  </si>
  <si>
    <t>Tanker</t>
  </si>
  <si>
    <t>Compound Growth Factors Weighted by Vessel Visits - Alternative 2</t>
  </si>
  <si>
    <t># Terminals Subject to Terminal Threshold</t>
  </si>
  <si>
    <t># Berths Subject to Terminal Threshold</t>
  </si>
  <si>
    <t>Tankers</t>
  </si>
  <si>
    <t>All</t>
  </si>
  <si>
    <t>Cost Apportionment</t>
  </si>
  <si>
    <t>Apportion</t>
  </si>
  <si>
    <t>Percentage of capital costs apportioned to ports and terminals</t>
  </si>
  <si>
    <t>Vessel Visits</t>
  </si>
  <si>
    <t>Barge-Based Capture and Control</t>
  </si>
  <si>
    <t>Unit</t>
  </si>
  <si>
    <t>Land-Based Capture and Control</t>
  </si>
  <si>
    <t>Cost per system ($)</t>
  </si>
  <si>
    <t>Cost per hour ($)</t>
  </si>
  <si>
    <t>Cost per approval ($)</t>
  </si>
  <si>
    <t>Passenger Cruise</t>
  </si>
  <si>
    <t>Administrative Cost Inputs</t>
  </si>
  <si>
    <t>Port Plans - Container/Reefer</t>
  </si>
  <si>
    <t>Port Plans - Cruise</t>
  </si>
  <si>
    <t>Terminal Plans - Container/Reefer</t>
  </si>
  <si>
    <t>Terminal Plans - Cruise</t>
  </si>
  <si>
    <t>Terminal Reporting - Container/Reefer</t>
  </si>
  <si>
    <t>Terminal Reporting - Cruise</t>
  </si>
  <si>
    <t>Vessel Reporting - Container/Reefer</t>
  </si>
  <si>
    <t>Vessel Reporting - Cruise</t>
  </si>
  <si>
    <t>Number</t>
  </si>
  <si>
    <t>Cost</t>
  </si>
  <si>
    <t>Year(s)</t>
  </si>
  <si>
    <t>Assumptions</t>
  </si>
  <si>
    <t>Due Date</t>
  </si>
  <si>
    <t>Within 7 days after vessel visit</t>
  </si>
  <si>
    <t>Annually for range of years listed</t>
  </si>
  <si>
    <t>2021 - 2032</t>
  </si>
  <si>
    <t>Shore Power Labor Costs - Cruise</t>
  </si>
  <si>
    <t>Shore Power Berth Retrofit Maintenance Costs</t>
  </si>
  <si>
    <t>Shore Power Berth Retrofit Capital Costs</t>
  </si>
  <si>
    <t>Hourly Barge-Based Capture and Control Usage Fees</t>
  </si>
  <si>
    <t>Land-Based Capture and Control Annualized Capital Costs</t>
  </si>
  <si>
    <t>Land-Based Capture and Control System Maintenance Costs</t>
  </si>
  <si>
    <t>Shore Power LCFS Credit Value</t>
  </si>
  <si>
    <t>Remediation Fee Visit Costs</t>
  </si>
  <si>
    <t>REMEDIATION FEE AMOUNTS</t>
  </si>
  <si>
    <t>Container, Reefer</t>
  </si>
  <si>
    <t>Total Land-Based Capture and Control Costs</t>
  </si>
  <si>
    <t>Total Barge-Based Capture and Control Costs</t>
  </si>
  <si>
    <t># Berth SP Retrofits Required for New Regulation</t>
  </si>
  <si>
    <t>Berth and Terminal Counts, Anticipated Infrastructure Needs, and Unique Vessel Counts</t>
  </si>
  <si>
    <t>Berths, Terminals, Vessels</t>
  </si>
  <si>
    <t>CRF (5%, 10 years) for berths</t>
  </si>
  <si>
    <t>Shore Power Infrastructure, Maintenance and Labor</t>
  </si>
  <si>
    <t>CONTAINER/REEFER</t>
  </si>
  <si>
    <t>CRUISE</t>
  </si>
  <si>
    <t># Infra-structure Projects for Land-Based C&amp;C</t>
  </si>
  <si>
    <t>All Years</t>
  </si>
  <si>
    <t>Equations:</t>
  </si>
  <si>
    <t>ALTERNATIVE 1</t>
  </si>
  <si>
    <t>fraction</t>
  </si>
  <si>
    <t>PERCENT OF VISITS TO A TERMINAL ALLOWED AS TERMINAL INCIDENT EVENTS (TIE)*</t>
  </si>
  <si>
    <t>PERCENT OF VISITS TO A TERMINAL ALLOWED AS VESSEL INCIDENT EVENTS (VIE)*</t>
  </si>
  <si>
    <t>PERCENT OF VISITS TO A TERMINAL ALLOWED AS A REMEDIATION FEE - VESSEL CONTROL EQUIPMENT REPAIR*</t>
  </si>
  <si>
    <t>PERCENT OF VISITS TO A TERMINAL ALLOWED AS A REMEDIATION FEE - TERMINAL UPGRADES/CONSTRUCTION*</t>
  </si>
  <si>
    <t xml:space="preserve">*Based on Staff analysis of Enforcement data for year 2017. In 2017, 21 out of 2,929 container/reefer vessel visits and 0 out of 495 cruise vessel visits were reported as safety exceptions. </t>
  </si>
  <si>
    <t>*Based on Staff analysis of Enforcement data for year 2017.</t>
  </si>
  <si>
    <t>Staff expects that most incidents related to vessel-side equipment would use VIEs. Based on 2017 data, only one So. Cal. tanker visit would have been expected to use the remediation fee.</t>
  </si>
  <si>
    <t>1. Visits Removed for Safety Exceptions</t>
  </si>
  <si>
    <t>2. Visits Removed for Commis-sioning</t>
  </si>
  <si>
    <t>Annual Numbers for Years 2021 - 2022</t>
  </si>
  <si>
    <t>5. Visits Removed for Remedi-ation Fee Visits - Terminal Issues</t>
  </si>
  <si>
    <t>6. Visits Removed for Remedi-ation Fee Visits - Vessel Issues</t>
  </si>
  <si>
    <t>7. All Annual Vessel Visits - Adjusted</t>
  </si>
  <si>
    <t>8. Total Percent of Annual Visits Removed</t>
  </si>
  <si>
    <t>Annual Numbers for Years 2029 - 2030</t>
  </si>
  <si>
    <t>Annual Numbers for Years 2031 - 2032</t>
  </si>
  <si>
    <t>Scenario</t>
  </si>
  <si>
    <t>Annual Vessel Visits for Years 2021 - 2022</t>
  </si>
  <si>
    <t>Annual Vessel Visits for Years 2023 - 2032</t>
  </si>
  <si>
    <t>Data Assumptions:</t>
  </si>
  <si>
    <t>*TIEs and VIEs are calculated as a percent of the total vessel visits (all berths combined) for regulated vessel types to that terminal during the previous year (minimum one TIE and VIE)</t>
  </si>
  <si>
    <t>3. Visits Removed for TIEs*</t>
  </si>
  <si>
    <t>4. Visits Removed for VIEs*</t>
  </si>
  <si>
    <t>A. All Annual Vessel Visits</t>
  </si>
  <si>
    <t>B. Newly Regulated Annual Vessel Visits - Un-adjusted</t>
  </si>
  <si>
    <t>D. Same values as Data Input C. except 10 fewer visits at POLB and 1 fewer visit at Port of Oakland would be conducted by vessels not expected to install shore power (vessel assumptions stated on "Berths, Terminals, Vessels" tab</t>
  </si>
  <si>
    <t>Annual Vessel Visits</t>
  </si>
  <si>
    <t>Container/Reefer Compounded Growth Factors</t>
  </si>
  <si>
    <t>Tankers Compounded Growth Factors</t>
  </si>
  <si>
    <t>hours per visit</t>
  </si>
  <si>
    <t xml:space="preserve">Container/Reefer </t>
  </si>
  <si>
    <t>Annual C&amp;C Vessel Visits - Container/Reefer</t>
  </si>
  <si>
    <t>Shore Power Capital Costs</t>
  </si>
  <si>
    <t>Year Begin Construction</t>
  </si>
  <si>
    <t>Year Begin Construc-tion</t>
  </si>
  <si>
    <t>Year Begin Infra-structure Construc-tion</t>
  </si>
  <si>
    <t>SP labor costs</t>
  </si>
  <si>
    <t>SP energy costs and fuel savings</t>
  </si>
  <si>
    <t>C&amp;C visits</t>
  </si>
  <si>
    <r>
      <t xml:space="preserve">9. </t>
    </r>
    <r>
      <rPr>
        <b/>
        <i/>
        <sz val="11"/>
        <color theme="1"/>
        <rFont val="Avenir LT Std 55 Roman"/>
        <family val="2"/>
      </rPr>
      <t xml:space="preserve">All Scenarios </t>
    </r>
    <r>
      <rPr>
        <b/>
        <sz val="11"/>
        <color theme="1"/>
        <rFont val="Avenir LT Std 55 Roman"/>
        <family val="2"/>
      </rPr>
      <t>Newly Regulated Annual Vessel Visits - Adjusted for all Exceptions, Commis-sioning TIEs, VIEs and Remedi-ation Fee Uses</t>
    </r>
  </si>
  <si>
    <t>Vessel Visit Count Applies to:</t>
  </si>
  <si>
    <r>
      <t xml:space="preserve">C. </t>
    </r>
    <r>
      <rPr>
        <b/>
        <i/>
        <sz val="11"/>
        <color theme="1"/>
        <rFont val="Avenir LT Std 55 Roman"/>
        <family val="2"/>
      </rPr>
      <t>All Scenarios</t>
    </r>
    <r>
      <rPr>
        <b/>
        <sz val="11"/>
        <color theme="1"/>
        <rFont val="Avenir LT Std 55 Roman"/>
        <family val="2"/>
      </rPr>
      <t xml:space="preserve"> Annual Vessel Visits from Infrequent Vessels Not Antici-pated to Install Shore Power</t>
    </r>
  </si>
  <si>
    <r>
      <t xml:space="preserve">10. </t>
    </r>
    <r>
      <rPr>
        <b/>
        <i/>
        <sz val="11"/>
        <color theme="1"/>
        <rFont val="Avenir LT Std 55 Roman"/>
        <family val="2"/>
      </rPr>
      <t>All Scenarios</t>
    </r>
    <r>
      <rPr>
        <b/>
        <sz val="11"/>
        <color theme="1"/>
        <rFont val="Avenir LT Std 55 Roman"/>
        <family val="2"/>
      </rPr>
      <t xml:space="preserve"> Newly Regulated Annual Vessel Visits - Adjusted for Exceptions, Commis-sioning, and Remedi-ation Fee Uses Only</t>
    </r>
  </si>
  <si>
    <t>Annual Numbers for Years 2023 - 2032</t>
  </si>
  <si>
    <r>
      <t xml:space="preserve">10. </t>
    </r>
    <r>
      <rPr>
        <b/>
        <i/>
        <sz val="11"/>
        <color theme="1"/>
        <rFont val="Avenir LT Std 55 Roman"/>
        <family val="2"/>
      </rPr>
      <t xml:space="preserve">Alt. 1 </t>
    </r>
    <r>
      <rPr>
        <b/>
        <sz val="11"/>
        <color theme="1"/>
        <rFont val="Avenir LT Std 55 Roman"/>
        <family val="2"/>
      </rPr>
      <t>All Annual Vessel Visits - Adjusted for all Exceptions, Commis-sioning TIEs, VIEs and Remedi-ation Fee Uses</t>
    </r>
  </si>
  <si>
    <r>
      <t xml:space="preserve">11. </t>
    </r>
    <r>
      <rPr>
        <b/>
        <i/>
        <sz val="11"/>
        <color theme="1"/>
        <rFont val="Avenir LT Std 55 Roman"/>
        <family val="2"/>
      </rPr>
      <t xml:space="preserve">Alt. 1 </t>
    </r>
    <r>
      <rPr>
        <b/>
        <sz val="11"/>
        <color theme="1"/>
        <rFont val="Avenir LT Std 55 Roman"/>
        <family val="2"/>
      </rPr>
      <t>All Annual Vessel Visits - Adjusted for all Exceptions, Commis-sioning TIEs, VIEs and Remedi-ation Fee Uses</t>
    </r>
  </si>
  <si>
    <r>
      <t xml:space="preserve">11. </t>
    </r>
    <r>
      <rPr>
        <b/>
        <i/>
        <sz val="11"/>
        <color theme="1"/>
        <rFont val="Avenir LT Std 55 Roman"/>
        <family val="2"/>
      </rPr>
      <t xml:space="preserve">Alt. 1 </t>
    </r>
    <r>
      <rPr>
        <b/>
        <sz val="11"/>
        <color theme="1"/>
        <rFont val="Avenir LT Std 55 Roman"/>
        <family val="2"/>
      </rPr>
      <t>All Annual Vessel Visits - Adjusted for all Exceptions, Commis-sioning, and Remedi-ation Fee Uses</t>
    </r>
  </si>
  <si>
    <r>
      <t xml:space="preserve">12. </t>
    </r>
    <r>
      <rPr>
        <b/>
        <i/>
        <sz val="11"/>
        <color theme="1"/>
        <rFont val="Avenir LT Std 55 Roman"/>
        <family val="2"/>
      </rPr>
      <t xml:space="preserve">Alt. 1 </t>
    </r>
    <r>
      <rPr>
        <b/>
        <sz val="11"/>
        <color theme="1"/>
        <rFont val="Avenir LT Std 55 Roman"/>
        <family val="2"/>
      </rPr>
      <t>All Annual Vessel Visits - Adjusted for all Exceptions, Commis-sioning, and Remedi-ation Fee Uses</t>
    </r>
  </si>
  <si>
    <t>11. Equals calculation 7.</t>
  </si>
  <si>
    <t>10. Equals calculation 7.</t>
  </si>
  <si>
    <t>11. Equals calculation 9.</t>
  </si>
  <si>
    <t>Cost per berth ($)</t>
  </si>
  <si>
    <t># systems</t>
  </si>
  <si>
    <t># berths</t>
  </si>
  <si>
    <t>Units/Basis</t>
  </si>
  <si>
    <t>Land-Based Systems - Capital</t>
  </si>
  <si>
    <t>1. Hourly Costs</t>
  </si>
  <si>
    <t>Equations</t>
  </si>
  <si>
    <t>1. Annualized Capital Costs- Emission Treatment Systems</t>
  </si>
  <si>
    <t>2. Performance Testing</t>
  </si>
  <si>
    <t>3. Labor Costs</t>
  </si>
  <si>
    <t>4. Maintenance Costs</t>
  </si>
  <si>
    <t>2. Hourly Costs</t>
  </si>
  <si>
    <t>Hourly cost per system ($)</t>
  </si>
  <si>
    <t>Annual cost per system ($)</t>
  </si>
  <si>
    <t>Emission Control Time at Berth</t>
  </si>
  <si>
    <t>Tankers (Average)</t>
  </si>
  <si>
    <t>3. Annual Vessel Visits [#] x Emission Control Duration per Visit [hr] x [1 + Compounded Growth Factor [%]] x Hourly Labor Cost per System [$]</t>
  </si>
  <si>
    <t>SUBTOTALS:</t>
  </si>
  <si>
    <t>Cost per reel ($)</t>
  </si>
  <si>
    <t>Cost per visit ($)</t>
  </si>
  <si>
    <t>Cost per berth upgrade ($)</t>
  </si>
  <si>
    <t>Cost per vessel upgrade ($)</t>
  </si>
  <si>
    <t>Compound Growth Factor - Container/Reefer</t>
  </si>
  <si>
    <t>Compound Growth Factor - Cruise</t>
  </si>
  <si>
    <t>Compound Growth Factor - Tankers</t>
  </si>
  <si>
    <t>1. SP Berth Retrofit Capital Costs</t>
  </si>
  <si>
    <t>Annual Growth Factors</t>
  </si>
  <si>
    <t>2. SP Berth Retrofit Capital Costs</t>
  </si>
  <si>
    <t>3. SP Berth Retrofit Maintenance Costs</t>
  </si>
  <si>
    <t>4. SP Berth Retrofit Maintenance Costs</t>
  </si>
  <si>
    <t>Annual Cost per berth upgrade ($)</t>
  </si>
  <si>
    <t>Annual Cost per vessel upgrade ($)</t>
  </si>
  <si>
    <t>Berth Retrofits</t>
  </si>
  <si>
    <t>Year Construction Starts</t>
  </si>
  <si>
    <t>Year Maintenance Starts</t>
  </si>
  <si>
    <t>Terminal Cable Reels</t>
  </si>
  <si>
    <t>Shore Power Vaults</t>
  </si>
  <si>
    <t>n/a</t>
  </si>
  <si>
    <t># New Vaults Required for New Regulation</t>
  </si>
  <si>
    <t>5. Additional SP Vault Costs</t>
  </si>
  <si>
    <t>6. Additional SP Vault Costs</t>
  </si>
  <si>
    <t>7. Terminal Cable Reel Costs</t>
  </si>
  <si>
    <t>Cost per new vault ($)</t>
  </si>
  <si>
    <t>Alt. 1</t>
  </si>
  <si>
    <t>Costs (All Adjusted for Annual Growth)
All Scenarios for Container/Reefer and Cruise Vessels</t>
  </si>
  <si>
    <t>Annual Numbers for Year 2025</t>
  </si>
  <si>
    <t>Annual Numbers for Years 2026 - 2032</t>
  </si>
  <si>
    <t>Annual Numbers for Year 2027</t>
  </si>
  <si>
    <t>Annual Numbers for Years 2028 - 2032</t>
  </si>
  <si>
    <t>SP Berth Retrofit, New Vaults, and Cable Reel Capital Costs</t>
  </si>
  <si>
    <t>Costs by Vessel Type - Alternative 1</t>
  </si>
  <si>
    <t>CALCULATIONS:</t>
  </si>
  <si>
    <t>INPUTS:</t>
  </si>
  <si>
    <t>Number of Vessel SP Retrofits - Alt. 1</t>
  </si>
  <si>
    <t>SP Vessel Retrofit Capital Costs</t>
  </si>
  <si>
    <t>SP Vessel Retrofit Maintenance Costs</t>
  </si>
  <si>
    <t>1. Shore Power Vessel Retrofit Capital Costs
(Incurred by Vessel Operators)</t>
  </si>
  <si>
    <t>2. Shore Power Vessel Retrofit Maintenance Costs
(Incurred by Vessel Operators)</t>
  </si>
  <si>
    <t>Cost Apportionment - SP Labor</t>
  </si>
  <si>
    <t>Duration of Emission Control At Berth</t>
  </si>
  <si>
    <t>Vessel Auxiliary Engine Effective Power</t>
  </si>
  <si>
    <t>Average Tanker Vessel Power (Aux. Engines)</t>
  </si>
  <si>
    <t>Fuel Consumption/LCFS</t>
  </si>
  <si>
    <t>Auxiliary Engine Fuel Consumption</t>
  </si>
  <si>
    <t>Brake-Specific Fuel Consumption</t>
  </si>
  <si>
    <t>% LCFS Credits Claimed</t>
  </si>
  <si>
    <t>Projected MGO Fuel Prices</t>
  </si>
  <si>
    <t>1. Shore Power Electricity Costs</t>
  </si>
  <si>
    <t>2. Shore Power Labor Costs</t>
  </si>
  <si>
    <t>3. Shore Power Labor Costs</t>
  </si>
  <si>
    <t>4. Shore Power Fuel Savings</t>
  </si>
  <si>
    <t>5. LCFS Credit Value</t>
  </si>
  <si>
    <t>Cost Savings (All Adjusted for Annual Growth) Alternative 1</t>
  </si>
  <si>
    <t>2021-2022</t>
  </si>
  <si>
    <t>2023-2032</t>
  </si>
  <si>
    <t>Annual Vessel Visit Counts for Shore Power Labor</t>
  </si>
  <si>
    <t>Annual Vessel Visit Counts for Shore Power Energy</t>
  </si>
  <si>
    <t>Labor Cost</t>
  </si>
  <si>
    <t>hours/visit</t>
  </si>
  <si>
    <t>kW/vessel</t>
  </si>
  <si>
    <t>2026-2032</t>
  </si>
  <si>
    <t>2028-2032</t>
  </si>
  <si>
    <t>2030-2032</t>
  </si>
  <si>
    <t>Years:</t>
  </si>
  <si>
    <t>SP Electricity Costs</t>
  </si>
  <si>
    <t>SP Labor Costs</t>
  </si>
  <si>
    <t>SP Fuel Savings</t>
  </si>
  <si>
    <t>SP LCFS Credit Value</t>
  </si>
  <si>
    <t>Costs (All Adjusted for Annual Growth) Alternative 1</t>
  </si>
  <si>
    <t>Costs (All Adjusted for Annual Growth) Alternative 2</t>
  </si>
  <si>
    <t>Cost Savings (All Adjusted for Annual Growth) Alt. 1</t>
  </si>
  <si>
    <t>Cost Savings by Vessel Type - Alternative 1</t>
  </si>
  <si>
    <t>All Tankers</t>
  </si>
  <si>
    <t>Projected LCFS Credit Value</t>
  </si>
  <si>
    <t>Annual Electricity and Fuel Inputs</t>
  </si>
  <si>
    <t>Remediation Fee</t>
  </si>
  <si>
    <t>Vessel Hourly Fee*</t>
  </si>
  <si>
    <t>Terminal Hourly Fee*</t>
  </si>
  <si>
    <t>*Based on Cost-Effectiveness of $100,000 per weighted ton of emissions</t>
  </si>
  <si>
    <t>Annual Vessel Visits Subject to Remediation Fee
Terminal Upgrades/Construction</t>
  </si>
  <si>
    <t>Annual Vessel Visits Subject to Remediation Fee
Vessel Control Equipment Repair</t>
  </si>
  <si>
    <t>Remediation Fee Costs - Terminal Upgrades/Construction
(All Adjusted for Annual Growth)
All Scenarios</t>
  </si>
  <si>
    <t>Remediation Fee Costs - Vessel Control Equipment Repair
(All Adjusted for Annual Growth)
All Scenarios</t>
  </si>
  <si>
    <t>Costs by Vessel Type - All Scenarios</t>
  </si>
  <si>
    <t>Costs - All Scenarios</t>
  </si>
  <si>
    <t>Remediation Fee Costs - Terminal</t>
  </si>
  <si>
    <t>Remediation Fee Costs - Vessel</t>
  </si>
  <si>
    <t>Annual estimated exceptions, Terminal Incident Events (TIEs) Vessel Incident Events (VIEs), remediation fee visits, and remediation fee amounts</t>
  </si>
  <si>
    <t>Total annual vessel visits by vessel type, and vessel visits adjusted for exceptions, TIEs, and remediation fee visits</t>
  </si>
  <si>
    <t>Calculations</t>
  </si>
  <si>
    <t>SP Berth Retrofit</t>
  </si>
  <si>
    <t>SP Vessel Retrofit</t>
  </si>
  <si>
    <t>Alt. 1 Only</t>
  </si>
  <si>
    <t>Year Begin Berth Infra-structure Construc-tion</t>
  </si>
  <si>
    <t>[B] Includes all tanker vessels that visited California in 2017 based on CSLC data.</t>
  </si>
  <si>
    <r>
      <t>All Scenarios</t>
    </r>
    <r>
      <rPr>
        <b/>
        <vertAlign val="superscript"/>
        <sz val="11"/>
        <color theme="1"/>
        <rFont val="Avenir LT Std 55 Roman"/>
        <family val="2"/>
      </rPr>
      <t>[C]</t>
    </r>
  </si>
  <si>
    <r>
      <t># New Shoreside Cable Reels</t>
    </r>
    <r>
      <rPr>
        <b/>
        <vertAlign val="superscript"/>
        <sz val="11"/>
        <color theme="1"/>
        <rFont val="Avenir LT Std 55 Roman"/>
        <family val="2"/>
      </rPr>
      <t>[D]</t>
    </r>
  </si>
  <si>
    <r>
      <t># Berth Infra-structure Projects for Land-Based C&amp;C</t>
    </r>
    <r>
      <rPr>
        <b/>
        <vertAlign val="superscript"/>
        <sz val="11"/>
        <rFont val="Avenir LT Std 55 Roman"/>
        <family val="2"/>
      </rPr>
      <t>[E]</t>
    </r>
  </si>
  <si>
    <t>[D] No shoreside cable reels assumed because Staff assumes original infrastructure design will maximize shore power flexibility.</t>
  </si>
  <si>
    <t>Year Begin Construction, Proposed Regulation and Alternative 2</t>
  </si>
  <si>
    <t>Year Begin Construction, Alternative 1</t>
  </si>
  <si>
    <r>
      <t>All Scenarios</t>
    </r>
    <r>
      <rPr>
        <b/>
        <vertAlign val="superscript"/>
        <sz val="11"/>
        <color theme="1"/>
        <rFont val="Avenir LT Std 55 Roman"/>
        <family val="2"/>
      </rPr>
      <t>[B]</t>
    </r>
  </si>
  <si>
    <r>
      <t># Additional Unique Vessels that would Install SP due to New Regulation</t>
    </r>
    <r>
      <rPr>
        <b/>
        <vertAlign val="superscript"/>
        <sz val="11"/>
        <color theme="1"/>
        <rFont val="Avenir LT Std 55 Roman"/>
        <family val="2"/>
      </rPr>
      <t>[A]</t>
    </r>
  </si>
  <si>
    <r>
      <t>All Scenarios</t>
    </r>
    <r>
      <rPr>
        <b/>
        <vertAlign val="superscript"/>
        <sz val="11"/>
        <color theme="1"/>
        <rFont val="Avenir LT Std 55 Roman"/>
        <family val="2"/>
      </rPr>
      <t>[</t>
    </r>
    <r>
      <rPr>
        <vertAlign val="superscript"/>
        <sz val="11"/>
        <color theme="1"/>
        <rFont val="Avenir LT Std 55 Roman"/>
        <family val="2"/>
      </rPr>
      <t>B]</t>
    </r>
  </si>
  <si>
    <t>[A] Assumptions:</t>
  </si>
  <si>
    <r>
      <t># Berth SP Retrofits Required for New Regulation</t>
    </r>
    <r>
      <rPr>
        <b/>
        <vertAlign val="superscript"/>
        <sz val="11"/>
        <rFont val="Avenir LT Std 55 Roman"/>
        <family val="2"/>
      </rPr>
      <t>[C]</t>
    </r>
  </si>
  <si>
    <r>
      <t># New Vaults Required for New Regulation</t>
    </r>
    <r>
      <rPr>
        <b/>
        <vertAlign val="superscript"/>
        <sz val="11"/>
        <rFont val="Avenir LT Std 55 Roman"/>
        <family val="2"/>
      </rPr>
      <t>[D]</t>
    </r>
  </si>
  <si>
    <t>Position</t>
  </si>
  <si>
    <t>Number of Positions</t>
  </si>
  <si>
    <t>Year Hired</t>
  </si>
  <si>
    <t>Cost
Year 1</t>
  </si>
  <si>
    <t>Air Pollution Specialist (Range C) - Enforcement</t>
  </si>
  <si>
    <t>Air Resources Engineer (Range D) - TTD</t>
  </si>
  <si>
    <t>Cost 
Subsequent</t>
  </si>
  <si>
    <t>Agency</t>
  </si>
  <si>
    <t>California State Lands Commission</t>
  </si>
  <si>
    <t>Year(s) of Approval(s)</t>
  </si>
  <si>
    <t># of Approvals</t>
  </si>
  <si>
    <t>Container/Reefer Vessels</t>
  </si>
  <si>
    <t>2019 - 2020</t>
  </si>
  <si>
    <t>2023 - 2024</t>
  </si>
  <si>
    <t>2025 - 2026</t>
  </si>
  <si>
    <t>2027 - 2028</t>
  </si>
  <si>
    <t>Number of Annual Terminal Reports - Container/Reefer</t>
  </si>
  <si>
    <t>Number of Annual Terminal Reports - Cruise</t>
  </si>
  <si>
    <t>Number of Annual Vessel Reports - Container/Reefer</t>
  </si>
  <si>
    <t>Number of Annual Vessel Reports - Cruise</t>
  </si>
  <si>
    <t>All Scenarios</t>
  </si>
  <si>
    <t>Terminal Report Cost</t>
  </si>
  <si>
    <t>Vessel Report Cost</t>
  </si>
  <si>
    <t>Number of CSLC PY - 1st Yr</t>
  </si>
  <si>
    <t>Number of CSLC PY - subsequent</t>
  </si>
  <si>
    <t>Costs (All Adjusted for Annual Growth)
All Scenarios*</t>
  </si>
  <si>
    <t>Vessel Category</t>
  </si>
  <si>
    <t>Fraction of Total Vessel Visits</t>
  </si>
  <si>
    <t>Vessel Visits Alternative 2</t>
  </si>
  <si>
    <t>Compound Growth Factor Weighted by Vessel Type</t>
  </si>
  <si>
    <t>Alt. 2</t>
  </si>
  <si>
    <t>1. Cost of Port Plans</t>
  </si>
  <si>
    <t>2. Cost of Terminal Plans</t>
  </si>
  <si>
    <t>3. Cost of Terminal Reporting</t>
  </si>
  <si>
    <t>4. Cost of Vessel Reporting</t>
  </si>
  <si>
    <t>5. Cost for all new CARB PYs</t>
  </si>
  <si>
    <t>Costs by Vessel Type - All Scenarios*</t>
  </si>
  <si>
    <t>Original Input</t>
  </si>
  <si>
    <t>Calculation</t>
  </si>
  <si>
    <t>Tankers (all)</t>
  </si>
  <si>
    <t>Total Annual Vessel Visits</t>
  </si>
  <si>
    <t>Fraction Vessel Visits</t>
  </si>
  <si>
    <t>Value linked from another cell or tab</t>
  </si>
  <si>
    <r>
      <t xml:space="preserve">Auxiliary Engine Effective Power Values (kW/hr) and </t>
    </r>
    <r>
      <rPr>
        <b/>
        <sz val="12"/>
        <rFont val="Avenir LT Std 55 Roman"/>
        <family val="2"/>
      </rPr>
      <t>Duration of Emission Control At Berth</t>
    </r>
  </si>
  <si>
    <t>1. Annual C&amp;C Barge-Based Vessel Visits [#] x Emission Control Duration per Visit [hr] x Hourly Fee [$/hr] x [1 + Compounded Growth Factor [fraction]]</t>
  </si>
  <si>
    <t>2. Annual C&amp;C Barge-Based Vessel Visits [#] x Emission Control Duration per Visit [hr] x Hourly Fee [$/hr] x [1 + Compounded Growth Factor [fraction]]</t>
  </si>
  <si>
    <t>5. Operational Costs</t>
  </si>
  <si>
    <t>4. Land-Based Emission Treatment Systems [#] x Annual Maintenance Cost per System [$] x [1 + Compounded Growth Factor [fraction]</t>
  </si>
  <si>
    <t>2. Land-Based Emission Treatment Systems [#] x Annual Performance Testing Cost per System [$] x [1 + Compounded Growth Factor [fraction]</t>
  </si>
  <si>
    <t>Formatting Legend</t>
  </si>
  <si>
    <t xml:space="preserve">     After 20 years, cost is multiplied by factor of 50 percent to account for repairs and replacement of parts (only relevant if costs are calculated past 2039)</t>
  </si>
  <si>
    <t>Remediation</t>
  </si>
  <si>
    <t>Annual reporting and plan development costs, CARB PY costs, and other agency PY costs</t>
  </si>
  <si>
    <t>Remediation fee costs</t>
  </si>
  <si>
    <t>Engine effective power values, duration of emission control, electricity and fuel cost projections and LCFS credit value projections</t>
  </si>
  <si>
    <t>Inputs for capture and control system and infrastructure costs, shore power infrastructure costs, and administrative costs</t>
  </si>
  <si>
    <t>Feasibility Study Cost</t>
  </si>
  <si>
    <t>per berth</t>
  </si>
  <si>
    <t>In 2017, there were 17 instances of terminal or port construction preventing shore power connection, out of 3,424 vessel visits from vessels that were shore power equipped.</t>
  </si>
  <si>
    <t xml:space="preserve">[E] Based on # of berths, since costs are estimated on a per-berth basis to account for scaled-up systems where more capacity is required. </t>
  </si>
  <si>
    <t>PERCENT OF VISITS TO A TERMINAL CATEGORIZED AS A SAFETY/EMERGENCY EXCEPTION*</t>
  </si>
  <si>
    <t>PERCENT OF VISITS TO A TERMINAL CATEGORIZED AS A COMMISSIONING EXCEPTION*</t>
  </si>
  <si>
    <t>Land-Based Capture and Control System Labor Costs</t>
  </si>
  <si>
    <t>Land-Based Capture and Control System Feasibility Study Costs</t>
  </si>
  <si>
    <t>Land-Based Capture and Control Operational Costs</t>
  </si>
  <si>
    <t>% of Total</t>
  </si>
  <si>
    <r>
      <t>Shore Power Cost for Additional Vault - Container/Reefer Berths</t>
    </r>
    <r>
      <rPr>
        <vertAlign val="superscript"/>
        <sz val="11"/>
        <color theme="1"/>
        <rFont val="Avenir LT Std 55 Roman"/>
        <family val="2"/>
      </rPr>
      <t>[A]</t>
    </r>
  </si>
  <si>
    <r>
      <t>Shore Power Infrastructure Repair Costs after 20 Years</t>
    </r>
    <r>
      <rPr>
        <vertAlign val="superscript"/>
        <sz val="11"/>
        <color theme="1"/>
        <rFont val="Avenir LT Std 55 Roman"/>
        <family val="2"/>
      </rPr>
      <t>[C]</t>
    </r>
  </si>
  <si>
    <r>
      <t xml:space="preserve">Timing of Capture and Control Technology CARB Approvals </t>
    </r>
    <r>
      <rPr>
        <b/>
        <vertAlign val="superscript"/>
        <sz val="12"/>
        <color theme="1"/>
        <rFont val="Avenir LT Std 55 Roman"/>
        <family val="2"/>
      </rPr>
      <t>[A]</t>
    </r>
  </si>
  <si>
    <r>
      <t xml:space="preserve">10. </t>
    </r>
    <r>
      <rPr>
        <b/>
        <i/>
        <sz val="11"/>
        <color theme="1"/>
        <rFont val="Avenir LT Std 55 Roman"/>
        <family val="2"/>
      </rPr>
      <t xml:space="preserve">Alt. 1 </t>
    </r>
    <r>
      <rPr>
        <b/>
        <sz val="11"/>
        <color theme="1"/>
        <rFont val="Avenir LT Std 55 Roman"/>
        <family val="2"/>
      </rPr>
      <t>Newly Regulated Annual Vessel Visits - Adjusted for non-SP vessels, all Exceptions, Commis-sioning TIEs, VIEs and Remedi-ation Fee Uses</t>
    </r>
  </si>
  <si>
    <r>
      <t xml:space="preserve">12. </t>
    </r>
    <r>
      <rPr>
        <b/>
        <i/>
        <sz val="11"/>
        <color theme="1"/>
        <rFont val="Avenir LT Std 55 Roman"/>
        <family val="2"/>
      </rPr>
      <t>Alt. 1</t>
    </r>
    <r>
      <rPr>
        <b/>
        <sz val="11"/>
        <color theme="1"/>
        <rFont val="Avenir LT Std 55 Roman"/>
        <family val="2"/>
      </rPr>
      <t xml:space="preserve"> Newly Regulated Annual Vessel Visits - Adjusted for non-SP vessels, Exceptions, Commis-sioning, and Remedi-ation Fee Uses Only</t>
    </r>
  </si>
  <si>
    <t>11. Input B. [#] - Input C. [#] - Sum of calculations 1., 2., 5. and 6. [#] (Note if result is a negative # of vessel visits, then result is set to zero)</t>
  </si>
  <si>
    <t>12. Input B. [#] - Input D. [#] - Sum of calculations 1., 2., 5. and 6. [#] (Note if result is a negative # of vessel visits, then result is set to zero)</t>
  </si>
  <si>
    <t>9. Input B. [#] - Input C. [#] - Sum of calculations 1. through 6. [#] (Note if result is a negative # of vessel visits, then result is set equal to zero)</t>
  </si>
  <si>
    <t>10. Input B. [#] - Input D. [#] - Sum of calculations 1. through 6. [#] (Note if result is a negative # of vessel visits, then result is set equal to zero)</t>
  </si>
  <si>
    <t xml:space="preserve">1. Input A. [#] x Exception Rate [%] </t>
  </si>
  <si>
    <t xml:space="preserve">2. Input A. [#] x Exception Rate [%] </t>
  </si>
  <si>
    <t>3. Input A. [#] x TIE Rate [%]</t>
  </si>
  <si>
    <t>4. Input A. [#] x VIE Rate [%]</t>
  </si>
  <si>
    <t>7. Input A. [#] - Sum of calculations 1. through 6. [#]</t>
  </si>
  <si>
    <t>8. [Input A. [#] - Calculation 7.[#]] / [Input A. [#]]</t>
  </si>
  <si>
    <t>B. Values from Staff Berth Analysis</t>
  </si>
  <si>
    <t>A. Includes all vessel visits controlled under the proposed Regulation, including those controlled under the existing At Berth Regulation. Values from Staff Berth Analysis.</t>
  </si>
  <si>
    <t>9. Input B. [#] - Sum of calculations 1. through 6. [#] (Note if result is a negative # of vessel visits, then result is set equal to zero)</t>
  </si>
  <si>
    <t>A. Includes all vessel visits controlled under the proposed Regulation. Values from Staff Berth Analysis.</t>
  </si>
  <si>
    <t>8. [Input A.s [#] - Calculation 7.[#]] / [Input A. [#]]</t>
  </si>
  <si>
    <t>12. Input A. [#] - Sum of calculations 1., 2., 5. and 6. [#]</t>
  </si>
  <si>
    <t>C. Staff anticipates all non-SP-capable cruise vessels would install shore power.</t>
  </si>
  <si>
    <t>B. Includes vessel visits from fleets that are unregulated under the existing At-Berth Regulation, plus additional vessel visits conducted by non-SP-capable vessels from currently regulated fleets, according to the filters described on the "Berths, Terminals, Vessels" tab. Values from Staff Berth Analysis.</t>
  </si>
  <si>
    <t>9. Equals Input A. [#] - Sum of calculations 1., 2., 5. and 6. [#]</t>
  </si>
  <si>
    <t>8. [Input A.[#] - Calculation 7.[#]] / [Input A. [#]]</t>
  </si>
  <si>
    <t xml:space="preserve">     Note that these do not match the total land-based systems identified in the Berth Analysis since this cost analysis applies a per-berth cost to these values.</t>
  </si>
  <si>
    <t>CRF (5%, 20 years) for land-side equipment</t>
  </si>
  <si>
    <t>5. Input A. [#] x Remediation Fee Visit Rate - Terminal Issues [%]</t>
  </si>
  <si>
    <t>6. Input A. [#] x Remediation Fee Visit Rate - Vessel Issues [%]</t>
  </si>
  <si>
    <t>5. Annual Vessel Visits [#] x Emission Control Duration per Visit [hr] x Hourly Operating Costs [$/hr] x [1 + Compounded Growth Factor [fraction]]</t>
  </si>
  <si>
    <t>Shore Power Infrastructure by Port/Area IMTs - ALT. 1</t>
  </si>
  <si>
    <t>Terminal and berth counts by port/Area IMTs, anticipated infrastructure needs, and unique vessel counts</t>
  </si>
  <si>
    <t>Control Measure for Ocean-Going Vessels Operating At Berth</t>
  </si>
  <si>
    <t>[B] Terminal, berth, retrofit, vault, reel, and C&amp;C system counts from Staff Berth Analysis</t>
  </si>
  <si>
    <t>[B] Terminal, berth, retrofit, vault and reel counts from Staff Berth Analysis.</t>
  </si>
  <si>
    <t>[A] Assumes that all vessels that visited California in 2017 (CSLC data) one or more times that do not currently have shore power would install it due to the new regulation.</t>
  </si>
  <si>
    <t>[C] Terminal and berth counts from Staff Berth Analysis.</t>
  </si>
  <si>
    <r>
      <t xml:space="preserve">D. </t>
    </r>
    <r>
      <rPr>
        <b/>
        <i/>
        <sz val="11"/>
        <color theme="1"/>
        <rFont val="Avenir LT Std 55 Roman"/>
        <family val="2"/>
      </rPr>
      <t>Alt. 1</t>
    </r>
    <r>
      <rPr>
        <b/>
        <sz val="11"/>
        <color theme="1"/>
        <rFont val="Avenir LT Std 55 Roman"/>
        <family val="2"/>
      </rPr>
      <t xml:space="preserve"> Annual Vessel Visits from Infrequent Vessels Not Antici-pated to Install Shore Power</t>
    </r>
  </si>
  <si>
    <t>**Based on Berth Analysis, Staff does not anticipate land-based capture and control would be used at container/reefer terminals.</t>
  </si>
  <si>
    <t>C. Includes visits from vessels that do not currently have shore power and would not install it due to the new regulation because they do not meet the filters described in the "Berths, Terminals, Vessels" tab. Excludes visits from vessels that would be expected to install shore power due to the existing regulation. Values from Staff Berth Analysis.</t>
  </si>
  <si>
    <r>
      <rPr>
        <i/>
        <u/>
        <sz val="11"/>
        <color theme="1"/>
        <rFont val="Avenir LT Std 55 Roman"/>
        <family val="2"/>
      </rPr>
      <t>Proposed Regulation and Alternative 2</t>
    </r>
    <r>
      <rPr>
        <i/>
        <sz val="11"/>
        <color theme="1"/>
        <rFont val="Avenir LT Std 55 Roman"/>
        <family val="2"/>
      </rPr>
      <t xml:space="preserve">
1. Staff assumes that "Frequent vessels" to California that are not currently shore power-equipped will install shore power to meet the requirements of the existing At-Berth Regulation by 2020. A "frequent vessel" is defined as a vessel that visited any terminal in California four or more times in 2017, based on CSLC data.
2. "Infrequent vessels" that visited Port of Oakland one or more times in 2017 (CSLC data) will need to install shore power in response to the Proposed Regulation. Remaining vessels without shore power will need to use TIEs/VIEs.
3. "Infrequent vessels" that visited POLA or POLB three or more times in 2017 (CSLC data) will need to install shore power in response to the Proposed Regulation. Remaining vessels without shore power will need to use TIEs/VIEs or alternative emissions control.
</t>
    </r>
    <r>
      <rPr>
        <i/>
        <u/>
        <sz val="11"/>
        <color theme="1"/>
        <rFont val="Avenir LT Std 55 Roman"/>
        <family val="2"/>
      </rPr>
      <t>Alternative 1</t>
    </r>
    <r>
      <rPr>
        <i/>
        <sz val="11"/>
        <color theme="1"/>
        <rFont val="Avenir LT Std 55 Roman"/>
        <family val="2"/>
      </rPr>
      <t xml:space="preserve">
1. Same assumptions as above, except all vessels making 2+ visits in LA/LB will install shore power equipment.</t>
    </r>
  </si>
  <si>
    <t>Effective Power Value (kW/hr) Weighted Average for All Ports/IMTs</t>
  </si>
  <si>
    <t>Port/IMT</t>
  </si>
  <si>
    <t>5. Σ [SP Vaults [#],port x % capital cost incurred by port [%],port] x Capital Cost per SP Vault [$] x CRF [fraction] x [1 + Compounded Growth Factor [fraction]]</t>
  </si>
  <si>
    <r>
      <t xml:space="preserve">1. </t>
    </r>
    <r>
      <rPr>
        <sz val="11"/>
        <color theme="1"/>
        <rFont val="Calibri"/>
        <family val="2"/>
      </rPr>
      <t>Σ</t>
    </r>
    <r>
      <rPr>
        <i/>
        <sz val="11"/>
        <color theme="1"/>
        <rFont val="Avenir LT Std 55 Roman"/>
        <family val="2"/>
      </rPr>
      <t xml:space="preserve"> [SP Berth Retrofits [#],port x % capital cost incurred by port [%],port] x Capital Cost per Berth Retrofit [$] x CRF [fraction] x [1 + Compounded Growth Factor [fraction]]</t>
    </r>
  </si>
  <si>
    <r>
      <t xml:space="preserve">2. </t>
    </r>
    <r>
      <rPr>
        <sz val="11"/>
        <color theme="1"/>
        <rFont val="Calibri"/>
        <family val="2"/>
      </rPr>
      <t>Σ</t>
    </r>
    <r>
      <rPr>
        <i/>
        <sz val="11"/>
        <color theme="1"/>
        <rFont val="Avenir LT Std 55 Roman"/>
        <family val="2"/>
      </rPr>
      <t xml:space="preserve"> [SP Berth Retrofits [#],port x % capital cost incurred by terminal [%],port] x Capital Cost per Berth Retrofit [$] x CRF [fraction] x [1 + Compounded Growth Factor [fraction]]</t>
    </r>
  </si>
  <si>
    <r>
      <t xml:space="preserve">3. </t>
    </r>
    <r>
      <rPr>
        <sz val="11"/>
        <color theme="1"/>
        <rFont val="Calibri"/>
        <family val="2"/>
      </rPr>
      <t>Σ</t>
    </r>
    <r>
      <rPr>
        <i/>
        <sz val="11"/>
        <color theme="1"/>
        <rFont val="Avenir LT Std 55 Roman"/>
        <family val="2"/>
      </rPr>
      <t xml:space="preserve"> [SP Berth Retrofits [#],port x % maintenance cost incurred by port [%],port] x Capital Cost per Berth Retrofit [$] x CRF [fraction] x [1 + Compounded Growth Factor [fraction]]</t>
    </r>
  </si>
  <si>
    <r>
      <t xml:space="preserve">4. </t>
    </r>
    <r>
      <rPr>
        <sz val="11"/>
        <color theme="1"/>
        <rFont val="Calibri"/>
        <family val="2"/>
      </rPr>
      <t>Σ</t>
    </r>
    <r>
      <rPr>
        <i/>
        <sz val="11"/>
        <color theme="1"/>
        <rFont val="Avenir LT Std 55 Roman"/>
        <family val="2"/>
      </rPr>
      <t xml:space="preserve"> [SP Berth Retrofits [#],port x % maintenance cost incurred by terminal [%],port] x Capital Cost per Berth Retrofit [$] x CRF [fraction] x [1 + Compounded Growth Factor [fraction]]</t>
    </r>
  </si>
  <si>
    <t>6. Σ [SP Vaults [#],port x % capital cost incurred by terminal [%],port] x Capital Cost per SP Vault [$] x CRF [fraction] x [1 + Compounded Growth Factor [fraction]]</t>
  </si>
  <si>
    <t>Port/IMT:</t>
  </si>
  <si>
    <t>[A] Staff does not anticipate vessel-side infrastructure will be needed for use of land-side capture and control systems.</t>
  </si>
  <si>
    <t>N/A</t>
  </si>
  <si>
    <r>
      <t>Unique Vessel Count for Vessel Modifications, Proposed Regulation and Alternative 2</t>
    </r>
    <r>
      <rPr>
        <vertAlign val="superscript"/>
        <sz val="11"/>
        <color theme="1"/>
        <rFont val="Avenir LT Std 55 Roman"/>
        <family val="2"/>
      </rPr>
      <t>[A]</t>
    </r>
  </si>
  <si>
    <r>
      <t>Unique Vessel Count for Vessel Modifications, Alternative 1</t>
    </r>
    <r>
      <rPr>
        <vertAlign val="superscript"/>
        <sz val="11"/>
        <color theme="1"/>
        <rFont val="Avenir LT Std 55 Roman"/>
        <family val="2"/>
      </rPr>
      <t>[B]</t>
    </r>
  </si>
  <si>
    <t>Shore Power Vessel Equipment Maintenance Costs</t>
  </si>
  <si>
    <t>Shore Power Cost for Additional Vault - Container/Reefer Berths</t>
  </si>
  <si>
    <t>Shore Power Infrastructure Repair Costs after 20 Years</t>
  </si>
  <si>
    <t>Terminal Cable Reel Capital Costs</t>
  </si>
  <si>
    <t>year</t>
  </si>
  <si>
    <t>Annual Performance Testing</t>
  </si>
  <si>
    <t>Annual Maintenance Costs</t>
  </si>
  <si>
    <t>Cost to Obtain Initial CARB Technology Approval</t>
  </si>
  <si>
    <t>Annual Operating Costs</t>
  </si>
  <si>
    <t>Shore Power Connection Labor Costs</t>
  </si>
  <si>
    <t>1. Annual Vessel Visits [#] x Aux. Engine Effective Power [kW] x SP Connection Duration [hr] x Electricity Price [$/kW-hr] x [1 + Compounded Growth Factor [fraction]]</t>
  </si>
  <si>
    <t>4. Annual Vessel Visits [#] x SP Connection Duration [hr] x Aux. Engine Effective Power [kW] x Brake-Specific Fuel Consumption [g/kW-hr] x Fuel Price [$/MT] / 10^6 g/MT x [1 + Compounded Growth Factor [fraction]]</t>
  </si>
  <si>
    <t>5. Annual Vessel Visits [#] x SP Connection Duration [hr] x Aux. Engine Effective Power [kW] x Electricity Price [$/kW-hr] x Percent Credits Claimed [%] x [1 + Compounded Growth Factor [fraction]]</t>
  </si>
  <si>
    <t>1. Port Plans [#] x Cost per Port Plan [$] x [1 + Compounded Growth Factor [fraction]]</t>
  </si>
  <si>
    <t>2. Terminal Plans [#] x Cost per Terminal Plan [$] x [1 + Compounded Growth Factor [fraction]]</t>
  </si>
  <si>
    <t>3. Vessel Reports [#] x Cost per Vessel Report [$] x [1 + Compounded Growth Factor [fraction]]</t>
  </si>
  <si>
    <t>4. Terminal Reports [#] x Cost per Terminal Report [$] x [1 + Compounded Growth Factor [fraction]]</t>
  </si>
  <si>
    <t>Vessel Hourly Fee</t>
  </si>
  <si>
    <t>Terminal Hourly Fee</t>
  </si>
  <si>
    <t>Annual Vessel Visits Subject to Fee [#] x Duration of Visit [hr] x Hourly Fee [$] x [1 + Compounded Growth Factor [fraction]]</t>
  </si>
  <si>
    <t>Equation</t>
  </si>
  <si>
    <t>**Includes berths SCK 2-3, 7-8 and 9</t>
  </si>
  <si>
    <t>Summary of Relative Costs</t>
  </si>
  <si>
    <t>check:</t>
  </si>
  <si>
    <t>13. For ports where Staff expects capture and control would be used (LA and LB), equals all of the Annual Vessel Visits from Infrequent Vessels not Anticipated to Install Shore Power. Staff assumes that TIEs and VIEs would be used at Ports of Oakland, San Diego and Hueneme.</t>
  </si>
  <si>
    <r>
      <t>Shore Power Retrofit Cost per Berth - Container/Reefer Berths</t>
    </r>
    <r>
      <rPr>
        <vertAlign val="superscript"/>
        <sz val="11"/>
        <color theme="1"/>
        <rFont val="Avenir LT Std 55 Roman"/>
        <family val="2"/>
      </rPr>
      <t>[A]</t>
    </r>
  </si>
  <si>
    <r>
      <t>Shore Power Retrofit Cost per Berth - Cruise Berths</t>
    </r>
    <r>
      <rPr>
        <vertAlign val="superscript"/>
        <sz val="11"/>
        <color theme="1"/>
        <rFont val="Avenir LT Std 55 Roman"/>
        <family val="2"/>
      </rPr>
      <t>[B]</t>
    </r>
  </si>
  <si>
    <t>Shore Power Retrofit Cost per Berth - Cruise Berths</t>
  </si>
  <si>
    <t>Shore Power Retrofit Cost per Berth - Container/Reefer Berths</t>
  </si>
  <si>
    <t>Shore Power Retrofit Cost per Vessel - Container/Reefer Vessels</t>
  </si>
  <si>
    <t>Shore Power Retrofit Cost per Vessel - Cruise Vessels</t>
  </si>
  <si>
    <t>Shore Power Retrofit Cost per Vessel - Tanker Vessels</t>
  </si>
  <si>
    <t>1. Vessels to be Retrofit [#] x Cost per Retrofit [$] x CRF [fraction] x [1 + Compounded Growth Factor [fraction]]</t>
  </si>
  <si>
    <t>2. Vessels to be Retrofit [#] x Annual Maintenance Cost [$] x [1 + Compounded Growth Factor [fraction]]</t>
  </si>
  <si>
    <t>Cost Analysis for Standardized Regulatory Impact Assessment</t>
  </si>
  <si>
    <t>Relative Costs</t>
  </si>
  <si>
    <t>Summary of Costs as a Percentage of Total Costs</t>
  </si>
  <si>
    <t>Cost Parameter</t>
  </si>
  <si>
    <t>PY Costs</t>
  </si>
  <si>
    <t>Alternative 1: Shore power required for all vessel types (no capture and control)</t>
  </si>
  <si>
    <r>
      <t xml:space="preserve">Annual Performance Testing </t>
    </r>
    <r>
      <rPr>
        <vertAlign val="superscript"/>
        <sz val="11"/>
        <color theme="1"/>
        <rFont val="Avenir LT Std 55 Roman"/>
        <family val="2"/>
      </rPr>
      <t>[A]</t>
    </r>
  </si>
  <si>
    <r>
      <t xml:space="preserve">Annual Maintenance Costs </t>
    </r>
    <r>
      <rPr>
        <vertAlign val="superscript"/>
        <sz val="11"/>
        <color theme="1"/>
        <rFont val="Avenir LT Std 55 Roman"/>
        <family val="2"/>
      </rPr>
      <t>[A]</t>
    </r>
  </si>
  <si>
    <r>
      <t xml:space="preserve">Terminal Equipment Life </t>
    </r>
    <r>
      <rPr>
        <vertAlign val="superscript"/>
        <sz val="11"/>
        <color theme="1"/>
        <rFont val="Avenir LT Std 55 Roman"/>
        <family val="2"/>
      </rPr>
      <t>[A]</t>
    </r>
  </si>
  <si>
    <r>
      <t xml:space="preserve">Annual Operating Costs </t>
    </r>
    <r>
      <rPr>
        <vertAlign val="superscript"/>
        <sz val="11"/>
        <color theme="1"/>
        <rFont val="Avenir LT Std 55 Roman"/>
        <family val="2"/>
      </rPr>
      <t>[A]</t>
    </r>
  </si>
  <si>
    <r>
      <t xml:space="preserve">Shore Power Retrofit Cost per Berth - Tanker Vessels </t>
    </r>
    <r>
      <rPr>
        <vertAlign val="superscript"/>
        <sz val="11"/>
        <rFont val="Avenir LT Std 55 Roman"/>
        <family val="2"/>
      </rPr>
      <t>[A]</t>
    </r>
  </si>
  <si>
    <r>
      <t>Shore Power Retrofit Cost per Vessel - Container/Reefer Vessels</t>
    </r>
    <r>
      <rPr>
        <vertAlign val="superscript"/>
        <sz val="11"/>
        <color theme="1"/>
        <rFont val="Avenir LT Std 55 Roman"/>
        <family val="2"/>
      </rPr>
      <t>[A]</t>
    </r>
  </si>
  <si>
    <r>
      <t>Shore Power Retrofit Cost per Vessel - Cruise Vessels</t>
    </r>
    <r>
      <rPr>
        <vertAlign val="superscript"/>
        <sz val="11"/>
        <color theme="1"/>
        <rFont val="Avenir LT Std 55 Roman"/>
        <family val="2"/>
      </rPr>
      <t>[A]</t>
    </r>
  </si>
  <si>
    <r>
      <t>Shore Power Retrofit Cost per Vessel - Tanker Vessels</t>
    </r>
    <r>
      <rPr>
        <vertAlign val="superscript"/>
        <sz val="11"/>
        <color theme="1"/>
        <rFont val="Avenir LT Std 55 Roman"/>
        <family val="2"/>
      </rPr>
      <t>[A]</t>
    </r>
  </si>
  <si>
    <r>
      <t>Terminal Cable Reel Capital Costs</t>
    </r>
    <r>
      <rPr>
        <vertAlign val="superscript"/>
        <sz val="11"/>
        <color theme="1"/>
        <rFont val="Avenir LT Std 55 Roman"/>
        <family val="2"/>
      </rPr>
      <t>[D]</t>
    </r>
  </si>
  <si>
    <t>[D] Based on Staff conversations with terminal operators</t>
  </si>
  <si>
    <r>
      <t>Shore Power Connection Labor Costs</t>
    </r>
    <r>
      <rPr>
        <vertAlign val="superscript"/>
        <sz val="11"/>
        <color theme="1"/>
        <rFont val="Avenir LT Std 55 Roman"/>
        <family val="2"/>
      </rPr>
      <t>[A]</t>
    </r>
  </si>
  <si>
    <r>
      <t xml:space="preserve">Year Maintenance Begins - Container/Reefer and Cruise </t>
    </r>
    <r>
      <rPr>
        <vertAlign val="superscript"/>
        <sz val="11"/>
        <color theme="1"/>
        <rFont val="Avenir LT Std 55 Roman"/>
        <family val="2"/>
      </rPr>
      <t>[C]</t>
    </r>
  </si>
  <si>
    <r>
      <t xml:space="preserve">Year Maintenance Begins - POLA/POLB Tanker Terminals </t>
    </r>
    <r>
      <rPr>
        <vertAlign val="superscript"/>
        <sz val="11"/>
        <color theme="1"/>
        <rFont val="Avenir LT Std 55 Roman"/>
        <family val="2"/>
      </rPr>
      <t>[C]</t>
    </r>
  </si>
  <si>
    <r>
      <t xml:space="preserve">Year Maintenance Begins - All Other Tanker Terminals </t>
    </r>
    <r>
      <rPr>
        <vertAlign val="superscript"/>
        <sz val="11"/>
        <color theme="1"/>
        <rFont val="Avenir LT Std 55 Roman"/>
        <family val="2"/>
      </rPr>
      <t>[C]</t>
    </r>
  </si>
  <si>
    <t>Shore Power Infrastructure by Port/IMT - ALL SCENARIOS</t>
  </si>
  <si>
    <t>Berth Retrofits - POLA/POLB Tanker Terminals</t>
  </si>
  <si>
    <t>Berth Retrofits - All Other Tanker Terminals</t>
  </si>
  <si>
    <t>[C] Staff assumption</t>
  </si>
  <si>
    <r>
      <t xml:space="preserve">Feasibility Study Cost </t>
    </r>
    <r>
      <rPr>
        <vertAlign val="superscript"/>
        <sz val="11"/>
        <color theme="1"/>
        <rFont val="Avenir LT Std 55 Roman"/>
        <family val="2"/>
      </rPr>
      <t>[A]</t>
    </r>
  </si>
  <si>
    <t>[A] Tri-Mer statements at 4/16/19 CARB meeting</t>
  </si>
  <si>
    <r>
      <t xml:space="preserve">CARB PYs </t>
    </r>
    <r>
      <rPr>
        <b/>
        <vertAlign val="superscript"/>
        <sz val="12"/>
        <color theme="1"/>
        <rFont val="Avenir LT Std 55 Roman"/>
        <family val="2"/>
      </rPr>
      <t>[A]</t>
    </r>
  </si>
  <si>
    <t>[A] PY cost sheet provided by CARB's Office of Economic Policy and Analysis (OEPA)</t>
  </si>
  <si>
    <t>[A] Staff estimate based on conversation with CSLC. Staff assumes PY costs similar to CARB ARE Range D</t>
  </si>
  <si>
    <t>POLA/POLB Tankers</t>
  </si>
  <si>
    <t>All Other Tankers</t>
  </si>
  <si>
    <t>Port Plans - Tankers (POLA/POLB)</t>
  </si>
  <si>
    <t>Port Plans - Tankers (All Other Statewide)</t>
  </si>
  <si>
    <t>Terminal Plans - Tankers (POLA/POLB)</t>
  </si>
  <si>
    <t>Terminal Plans - Tankers (All Other Statewide)</t>
  </si>
  <si>
    <t>Terminal Reporting - Tankers (POLA/POLB)</t>
  </si>
  <si>
    <t>Terminal Reporting - Tankers (All Other Statewide)</t>
  </si>
  <si>
    <t>Vessel Reporting - Tankers (POLA/POLB)</t>
  </si>
  <si>
    <t>Vessel Reporting - Tankers (All Other Statewide)</t>
  </si>
  <si>
    <t>Stockton Area</t>
  </si>
  <si>
    <t>Richmond Area</t>
  </si>
  <si>
    <r>
      <t>Container/Reefer</t>
    </r>
    <r>
      <rPr>
        <vertAlign val="superscript"/>
        <sz val="11"/>
        <color theme="1"/>
        <rFont val="Avenir LT Std 55 Roman"/>
        <family val="2"/>
      </rPr>
      <t>[A]</t>
    </r>
  </si>
  <si>
    <r>
      <t xml:space="preserve">Tankers (all) </t>
    </r>
    <r>
      <rPr>
        <vertAlign val="superscript"/>
        <sz val="11"/>
        <color theme="1"/>
        <rFont val="Avenir LT Std 55 Roman"/>
        <family val="2"/>
      </rPr>
      <t>[A]</t>
    </r>
  </si>
  <si>
    <t>[A] Container/Reefer and Tanker effective power values calculated below</t>
  </si>
  <si>
    <t>[C] Container/Reefer and Cruise values are adjusted for actual shore power utilization times in 2016</t>
  </si>
  <si>
    <r>
      <t>Duration of Emission Control At Berth (hours)</t>
    </r>
    <r>
      <rPr>
        <b/>
        <vertAlign val="superscript"/>
        <sz val="11"/>
        <color theme="1"/>
        <rFont val="Avenir LT Std 55 Roman"/>
        <family val="2"/>
      </rPr>
      <t>[C]</t>
    </r>
  </si>
  <si>
    <r>
      <t xml:space="preserve">Weighted average kW/vessel </t>
    </r>
    <r>
      <rPr>
        <b/>
        <vertAlign val="superscript"/>
        <sz val="11"/>
        <color theme="1"/>
        <rFont val="Avenir LT Std 55 Roman"/>
        <family val="2"/>
      </rPr>
      <t>[A]</t>
    </r>
  </si>
  <si>
    <r>
      <t xml:space="preserve">Carquinez Area </t>
    </r>
    <r>
      <rPr>
        <vertAlign val="superscript"/>
        <sz val="11"/>
        <rFont val="Avenir LT Std 55 Roman"/>
        <family val="2"/>
      </rPr>
      <t>[B]</t>
    </r>
  </si>
  <si>
    <r>
      <t xml:space="preserve">Rodeo Area </t>
    </r>
    <r>
      <rPr>
        <vertAlign val="superscript"/>
        <sz val="11"/>
        <rFont val="Avenir LT Std 55 Roman"/>
        <family val="2"/>
      </rPr>
      <t>[C]</t>
    </r>
  </si>
  <si>
    <t>[A] Staff calculated weighted average per vessel type/port. Consistent with Draft Inventory Methodology, Table 7. https://www.arb.ca.gov/msei/ordiesel/draft2019ogvinv.pdf</t>
  </si>
  <si>
    <t>[B] Average kW of tanker vessels to Benicia, Martinez and Avon</t>
  </si>
  <si>
    <t>[C] Average kW of tanker vessels to Oleum and Selby terminals</t>
  </si>
  <si>
    <r>
      <t xml:space="preserve">Projected Electricity Rates in ¢/kWh </t>
    </r>
    <r>
      <rPr>
        <b/>
        <vertAlign val="superscript"/>
        <sz val="11"/>
        <color theme="1"/>
        <rFont val="Avenir LT Std 55 Roman"/>
        <family val="2"/>
      </rPr>
      <t>[A]</t>
    </r>
  </si>
  <si>
    <t>[A] Per email from Chris Kavalec (California Energy Commission) to Paul Milkey (CARB) dated 8/27/2018, rates for the four major utilities are taken from the Mid Case Revised Demand Forecast updated 2/21/2018 (form 2.3) for years 2019-2030. Values for 2031-32 are extrapolated.</t>
  </si>
  <si>
    <r>
      <t xml:space="preserve">Projected LCFS Credit Value 
($/kW-hr) </t>
    </r>
    <r>
      <rPr>
        <b/>
        <vertAlign val="superscript"/>
        <sz val="11"/>
        <color theme="1"/>
        <rFont val="Avenir LT Std 55 Roman"/>
        <family val="2"/>
      </rPr>
      <t>[A]</t>
    </r>
  </si>
  <si>
    <t>[A] LCFS Staff Analysis dated 4/12/19</t>
  </si>
  <si>
    <r>
      <t xml:space="preserve">% LCFS Credits Claimed </t>
    </r>
    <r>
      <rPr>
        <vertAlign val="superscript"/>
        <sz val="11"/>
        <color theme="1"/>
        <rFont val="Avenir LT Std 55 Roman"/>
        <family val="2"/>
      </rPr>
      <t>[B]</t>
    </r>
  </si>
  <si>
    <t>[B] Staff assumption</t>
  </si>
  <si>
    <r>
      <t xml:space="preserve">Brake-Specific Fuel Consumption </t>
    </r>
    <r>
      <rPr>
        <vertAlign val="superscript"/>
        <sz val="11"/>
        <color theme="1"/>
        <rFont val="Avenir LT Std 55 Roman"/>
        <family val="2"/>
      </rPr>
      <t>[A]</t>
    </r>
  </si>
  <si>
    <t xml:space="preserve">[A] CARB emission inventory methodology document Appendix A, fuel consumption factor for auxiliary engines at berth, distillate fuel. </t>
  </si>
  <si>
    <r>
      <t xml:space="preserve">4/25/2018 </t>
    </r>
    <r>
      <rPr>
        <vertAlign val="superscript"/>
        <sz val="11"/>
        <color theme="1"/>
        <rFont val="Avenir LT Std 55 Roman"/>
        <family val="2"/>
      </rPr>
      <t>[A]</t>
    </r>
  </si>
  <si>
    <t>[A] Reference: www.shipandbunker.com, accessed 4/26/19</t>
  </si>
  <si>
    <t>[B] Reference: https://www.eia.gov/outlooks/aeo/data/browser/#/?id=12-AEO2018&amp;cases=ref2018&amp;sourcekey=0</t>
  </si>
  <si>
    <r>
      <t xml:space="preserve">Projected Diesel Price $/gallon </t>
    </r>
    <r>
      <rPr>
        <b/>
        <vertAlign val="superscript"/>
        <sz val="11"/>
        <color theme="1"/>
        <rFont val="Avenir LT Std 55 Roman"/>
        <family val="2"/>
      </rPr>
      <t>[B]</t>
    </r>
  </si>
  <si>
    <r>
      <t xml:space="preserve">Container /Reefer </t>
    </r>
    <r>
      <rPr>
        <b/>
        <vertAlign val="superscript"/>
        <sz val="11"/>
        <color theme="1"/>
        <rFont val="Avenir LT Std 55 Roman"/>
        <family val="2"/>
      </rPr>
      <t>[A]</t>
    </r>
  </si>
  <si>
    <t>[A] Container factor used, due to high activity relative to reefer vessels</t>
  </si>
  <si>
    <t>[B] Auto factor used, due to high activity relative to RoRo vessels</t>
  </si>
  <si>
    <t>Carquinez Area</t>
  </si>
  <si>
    <t>Rodeo Area</t>
  </si>
  <si>
    <r>
      <t xml:space="preserve">Shore Power Capital Costs </t>
    </r>
    <r>
      <rPr>
        <b/>
        <vertAlign val="superscript"/>
        <sz val="11"/>
        <color theme="1"/>
        <rFont val="Avenir LT Std 55 Roman"/>
        <family val="2"/>
      </rPr>
      <t>[A],[B]</t>
    </r>
  </si>
  <si>
    <t>[A] Staff anticipates that only container and cruise terminals would use shore power, based on Staff Berth Analysis.</t>
  </si>
  <si>
    <t>[B] Cost apportionment based on Staff discussions with ports and terminals.</t>
  </si>
  <si>
    <t>Shore Power Maintenance Costs</t>
  </si>
  <si>
    <t>[D] "New Vaults" means installing additional vaults on a berth where shore power already exists.</t>
  </si>
  <si>
    <t>[C] "Berth Retrofit" means installing shore power on a berth where none currently exists.</t>
  </si>
  <si>
    <t>All Other Tankers Statewide</t>
  </si>
  <si>
    <t>ALL TANKERS - POLA/POLB</t>
  </si>
  <si>
    <t>ALL TANKERS - ALL OTHER STATEWIDE</t>
  </si>
  <si>
    <t>Stockton Area**</t>
  </si>
  <si>
    <t>Annual C&amp;C Land-Based Vessel Visits - POLA/POLB Tankers</t>
  </si>
  <si>
    <t>Annual C&amp;C Land-Based Vessel Visits - All Other Tankers Statewide</t>
  </si>
  <si>
    <t>Tankers POLA/POLB</t>
  </si>
  <si>
    <t>Tankers All Other Statewide</t>
  </si>
  <si>
    <t>All Tankers (Average of Product and Crude)</t>
  </si>
  <si>
    <r>
      <t xml:space="preserve">Other Agency PYs </t>
    </r>
    <r>
      <rPr>
        <b/>
        <vertAlign val="superscript"/>
        <sz val="12"/>
        <color theme="1"/>
        <rFont val="Avenir LT Std 55 Roman"/>
        <family val="2"/>
      </rPr>
      <t>[A]</t>
    </r>
  </si>
  <si>
    <t>9. For ports/IMTs where only barge-based C&amp;C systems would be used, = Input A. [#]. For ports/IMTs where barge-based and land-based systems may be used, = Input A. [#] - [Sum of calculations 1., 2., 5. and 6./2] [#]</t>
  </si>
  <si>
    <t>10. For ports/IMTs where only land-based C&amp;C systems would be used, = Input A. [#]. For ports/IMTs where barge-based and land-based systems may be used, = Input A. [#] - [Sum of calculations 1., 2., 5. and 6./2] [#]</t>
  </si>
  <si>
    <t>Number of Annual Terminal Reports - POLA/POLB Tankers</t>
  </si>
  <si>
    <t>Number of Annual Vessel Reports - POLA/POLB Tankers</t>
  </si>
  <si>
    <t>Number of Annual Terminal Reports - All Other Tankers Statewide</t>
  </si>
  <si>
    <t>Number of Annual Vessel Reports - All Other Tankers Statewide</t>
  </si>
  <si>
    <t>Regulatory Scenarios Considered in Cost Analysis:</t>
  </si>
  <si>
    <t>Exceptions, TIEs, VIEs, and Remediation Fee Events</t>
  </si>
  <si>
    <t>Exceptions &amp; Events</t>
  </si>
  <si>
    <r>
      <t>Statewide Average Future Electricity Rate Assumption $/kWh</t>
    </r>
    <r>
      <rPr>
        <b/>
        <vertAlign val="superscript"/>
        <sz val="11"/>
        <color theme="1"/>
        <rFont val="Avenir LT Std 55 Roman"/>
        <family val="2"/>
      </rPr>
      <t xml:space="preserve"> [B]</t>
    </r>
  </si>
  <si>
    <t>[B] The statewide average is applied to all vessel visits except Cruise vessel visits in San Diego</t>
  </si>
  <si>
    <t>Cruise Vessel Electricity Rates for Port of San Diego Only</t>
  </si>
  <si>
    <t>Annual Rate 2021 - 2032</t>
  </si>
  <si>
    <r>
      <t xml:space="preserve">$/kWh </t>
    </r>
    <r>
      <rPr>
        <vertAlign val="superscript"/>
        <sz val="11"/>
        <color theme="1"/>
        <rFont val="Avenir LT Std 55 Roman"/>
        <family val="2"/>
      </rPr>
      <t>[A]</t>
    </r>
  </si>
  <si>
    <t>[A] "Prepared Direct Testimony of Cynthia Fang on Behalf of San Diego Gas &amp; Electric Company, Chapter 4, Before the Public Utilities Commission of the State of California, September 13, 2017" page CF-10</t>
  </si>
  <si>
    <t>Projected Electricity Rates - All except Port of San Diego Cruise vessels</t>
  </si>
  <si>
    <t>Projected Electricity Rates - Port of San Diego Cruise vessels only</t>
  </si>
  <si>
    <t>Cruise - all except Port of San Diego</t>
  </si>
  <si>
    <t>Cruise - Port of San Diego only</t>
  </si>
  <si>
    <t>Total 2020 - 2032</t>
  </si>
  <si>
    <t>Berth Infrastructure</t>
  </si>
  <si>
    <t>Maintenance</t>
  </si>
  <si>
    <t>LCFS Credits</t>
  </si>
  <si>
    <t>Net Total</t>
  </si>
  <si>
    <t>Port Analysis</t>
  </si>
  <si>
    <t>Feasibility</t>
  </si>
  <si>
    <t>Capital Costs</t>
  </si>
  <si>
    <t>Performance Testing</t>
  </si>
  <si>
    <t xml:space="preserve">Labor </t>
  </si>
  <si>
    <t>Administrative and Remediation</t>
  </si>
  <si>
    <t>Port Plans</t>
  </si>
  <si>
    <t>Terminal Plans</t>
  </si>
  <si>
    <t>Terminal Vessel Visit Reports</t>
  </si>
  <si>
    <t>Remediation Fee Visits</t>
  </si>
  <si>
    <t>Costs Incurred by</t>
  </si>
  <si>
    <t>Maintenance Costs</t>
  </si>
  <si>
    <t>[C] Terminal, berth, C&amp;C system and infrastructure project counts from Staff Berth Analysis.</t>
  </si>
  <si>
    <t>Terminal Infrastructure (Emission Control System connections, electrical, foundation, etc.)</t>
  </si>
  <si>
    <t>Emission Control System Support Structure</t>
  </si>
  <si>
    <t>Land-Based Capture and Control - All Systems</t>
  </si>
  <si>
    <t>Crane Support Structures</t>
  </si>
  <si>
    <t>Cost per crane ($)</t>
  </si>
  <si>
    <t>Total Cost of Cranes</t>
  </si>
  <si>
    <t>Total Cost of Crane Support Structures</t>
  </si>
  <si>
    <t>Electric Utility Infrastructure Cost</t>
  </si>
  <si>
    <t>of project costs</t>
  </si>
  <si>
    <t>Cost per structure ($)</t>
  </si>
  <si>
    <t>Crane Cost</t>
  </si>
  <si>
    <t>Operating Costs</t>
  </si>
  <si>
    <t>Annual cost per berth ($)</t>
  </si>
  <si>
    <t>Engineering Costs</t>
  </si>
  <si>
    <t>Permitting Costs</t>
  </si>
  <si>
    <t>Feasibility, Engineering and Permitting Costs for Tanker Terminal Capture and Control Projects - POLA/POLB</t>
  </si>
  <si>
    <t>Feasibility, Engineering and Permitting Costs for Tanker Terminal Capture and Control Projects - All Other Statewide</t>
  </si>
  <si>
    <t>Start Year</t>
  </si>
  <si>
    <t>Number of Studies</t>
  </si>
  <si>
    <t>Land-Based Systems - Capital/Construction</t>
  </si>
  <si>
    <t>All Other Tanker Terminals Statewide</t>
  </si>
  <si>
    <t>POLA/POLB Tanker Terminals</t>
  </si>
  <si>
    <t>Land-Based Emission Control System Cost</t>
  </si>
  <si>
    <t>[A] Staff assumption on number and timing of technology approvals</t>
  </si>
  <si>
    <t>Electric Utility Infrastructure Costs</t>
  </si>
  <si>
    <t>Value - POLA/ POLB</t>
  </si>
  <si>
    <t>Value - Other Statewide</t>
  </si>
  <si>
    <t>Land-Based Capture &amp; Control Costs 
(All Adjusted for Annual Growth)
POLA/POLB Tanker Terminals</t>
  </si>
  <si>
    <t>Equation Number</t>
  </si>
  <si>
    <t>Emission Control Systems</t>
  </si>
  <si>
    <t>Cranes</t>
  </si>
  <si>
    <t>1. Number of Berths with Land-Based Emission Treatment Systems [#] x Component Cost per Berth [$] x [1 + Compounded Growth Factor [fraction]] x CRF [fraction]</t>
  </si>
  <si>
    <t>Hourly cost per visit ($)</t>
  </si>
  <si>
    <t>5. Cost per Berth [$] x Number of Berths [#] /7 years</t>
  </si>
  <si>
    <t>3. Number of Berths with Land-Based Emission Treatment Systems [#] x Annual Maintenance Cost per Berth [$] x [1 + Compounded Growth Factor [fraction]]</t>
  </si>
  <si>
    <t>4. Annual Vessel Visits [#] x Emission Control Duration per Visit [hr] x Hourly Operating Costs [$/hr] x [1 + Compounded Growth Factor [fraction]]</t>
  </si>
  <si>
    <t>6. Land-Based Emission Treatment Systems [#] x Annual Performance Testing Cost per System [$] x [1 + Compounded Growth Factor [fraction]]</t>
  </si>
  <si>
    <t>Feasibility Study Costs</t>
  </si>
  <si>
    <t>Land-Based Capture and Control - Tankers - POLA/POLB</t>
  </si>
  <si>
    <t>Land-Based Capture and Control - Tankers - All Other Terminals Statewide</t>
  </si>
  <si>
    <t>[F] Excludes berths to be demolished (Kinder Morgan Berth 118 and Phillips 66 Berth 149) and accounts for one Shell berth at POLA (169).</t>
  </si>
  <si>
    <r>
      <t xml:space="preserve">Los Angeles </t>
    </r>
    <r>
      <rPr>
        <vertAlign val="superscript"/>
        <sz val="11"/>
        <color theme="1"/>
        <rFont val="Avenir LT Std 55 Roman"/>
        <family val="2"/>
      </rPr>
      <t>[F]</t>
    </r>
  </si>
  <si>
    <t>C&amp;C - Tankers</t>
  </si>
  <si>
    <t>Land-based capture and control system capital costs, operating costs, CARB approval costs, feasibility, engineering, and permitting costs for Tanker terminals and vessels</t>
  </si>
  <si>
    <t>Analysis</t>
  </si>
  <si>
    <t>Total cost per visit ($)</t>
  </si>
  <si>
    <t>Demurrage Costs</t>
  </si>
  <si>
    <t>7. Annual Vessel Visits [#] x Demurrage Cost per Visit [$] x [1 + Compounded Growth Factor [fraction]]</t>
  </si>
  <si>
    <t>Land-Based Capture &amp; Control Costs 
(All Adjusted for Annual Growth)
All Other Tanker Terminals Statewide</t>
  </si>
  <si>
    <t>2. Number of Berths with Land-Based Emission Treatment Systems [#] x Annual Labor Cost Per Berth [$] x [1 + Compounded Growth Factor [fraction]]</t>
  </si>
  <si>
    <t>Percent of capital costs</t>
  </si>
  <si>
    <t>Land-Based Capture and Control System Permitting Costs</t>
  </si>
  <si>
    <t>Land-Based Capture and Control System Engineering Costs</t>
  </si>
  <si>
    <t>Land-Based Capture and Control System Performance Testing</t>
  </si>
  <si>
    <r>
      <t xml:space="preserve">5. </t>
    </r>
    <r>
      <rPr>
        <sz val="11"/>
        <rFont val="Calibri"/>
        <family val="2"/>
      </rPr>
      <t xml:space="preserve">Σ </t>
    </r>
    <r>
      <rPr>
        <i/>
        <sz val="11"/>
        <rFont val="Avenir LT Std 55 Roman"/>
        <family val="2"/>
      </rPr>
      <t>[Number of PYs [#] x Cost per PY [$]]</t>
    </r>
  </si>
  <si>
    <t>CARB PY Apportionment</t>
  </si>
  <si>
    <t>Other Agency PY Apportionment</t>
  </si>
  <si>
    <t>[A] Staff assumption that costs would be apportioned by number of terminals for each vessel type</t>
  </si>
  <si>
    <t>Number of Terminals</t>
  </si>
  <si>
    <t>Number of Infrastructure Projects</t>
  </si>
  <si>
    <t>Percent of Costs Apportioned</t>
  </si>
  <si>
    <t>Tankers - POLA/POLB</t>
  </si>
  <si>
    <t>Tankers - Other Statewide</t>
  </si>
  <si>
    <t>Tankers - All Other Statewide</t>
  </si>
  <si>
    <t>TERMINAL THRESHOLD: 20</t>
  </si>
  <si>
    <t>Note: All land-based capture and control cost inputs include construction/installation costs.</t>
  </si>
  <si>
    <t>Terminal Infrastructure (Berth to Emission Control System Piping) Cost</t>
  </si>
  <si>
    <t>Berth-to-Emission Control System Piping</t>
  </si>
  <si>
    <r>
      <t xml:space="preserve">Labor Costs </t>
    </r>
    <r>
      <rPr>
        <vertAlign val="superscript"/>
        <sz val="11"/>
        <color theme="1"/>
        <rFont val="Avenir LT Std 55 Roman"/>
        <family val="2"/>
      </rPr>
      <t>[B]</t>
    </r>
  </si>
  <si>
    <t>B] According to Tri-Mer statements at 4/16/19 CARB meeting, no additional labor would be required to run capture-and-control system.</t>
  </si>
  <si>
    <t>[A] Claimed confidential data obtained from industry sources that requested non-attribution.</t>
  </si>
  <si>
    <t>[A] Average of two values: 1) $3,500,000 for a 14,000 scfm system (claimed confidential data obtained from an industry source that requested non-attribution), scaled up proportionally to a volumetric flow rate of 31,250 scfm (estimated from the mid-range of a 100,000 - 125,000 scfm design target estimated by Chevron during a meeting with CARB on 6/10/19, for their four berths at Richmond Long Wharf; and 2) $5,000,000 per emission control system cited in WSPA letter to CARB dated 5/30/19.</t>
  </si>
  <si>
    <t>[B] Letter from WSPA to CARB dated 5/30/19.</t>
  </si>
  <si>
    <t>[C] Letter from WSPA to CARB dated 5/30/19. This is a mid-range value between $0 - $10,000, since a support structure would not be needed at every berth.</t>
  </si>
  <si>
    <t>[D] Staff analysis of data from AEG Benicia RoRo AMECS project, ShoreKat project, and EU 2001 VOC control system cost estimates. WSPA members concurred with this value in the May 30, 2019 letter to CARB.</t>
  </si>
  <si>
    <t>[E] Letter from WSPA to CARB dated 5/30/19. See Inputs and Assumptions document for underlying assumptions.</t>
  </si>
  <si>
    <t>[F] The potential for this cost to occur was raised by stakeholders, but no stakeholders provided specific information on which to base an assumed cost. Staff understands that these costs would be incurred at some terminals but not others, and be highly dependent on existing conditions at each individual location.</t>
  </si>
  <si>
    <t>[G] Based on Staff conversations with tanker terminal operators and Tri-Mer. See Inputs and Assumptions document for underlying assumptions.</t>
  </si>
  <si>
    <t>[H] Staff did not receive consistent information from stakeholders regarding an appropriate value to estimate maintenance costs for both the emission control system and the associated infrasructure. Therefore, Staff assumes maintenance costs would be similar in proportion to project captial costs for shore power projects, calculated at 0.3% as described in the Inputs and Assumptions document.</t>
  </si>
  <si>
    <r>
      <t xml:space="preserve">Land-Based Emission Control System Cost </t>
    </r>
    <r>
      <rPr>
        <vertAlign val="superscript"/>
        <sz val="11"/>
        <color theme="1"/>
        <rFont val="Avenir LT Std 55 Roman"/>
        <family val="2"/>
      </rPr>
      <t>[A]</t>
    </r>
  </si>
  <si>
    <t>[I] Based on claimed confidential data from industry sources that requested non-attribution, scaled up according to the assumptions stated in the Inputs and Analysis document.</t>
  </si>
  <si>
    <r>
      <t xml:space="preserve">Terminal Infrastructure (Emission Control System connections, electrical, foundation, etc.) </t>
    </r>
    <r>
      <rPr>
        <vertAlign val="superscript"/>
        <sz val="11"/>
        <color theme="1"/>
        <rFont val="Avenir LT Std 55 Roman"/>
        <family val="2"/>
      </rPr>
      <t>[B]</t>
    </r>
  </si>
  <si>
    <r>
      <t xml:space="preserve">Emission Control System Support Structure </t>
    </r>
    <r>
      <rPr>
        <vertAlign val="superscript"/>
        <sz val="11"/>
        <color theme="1"/>
        <rFont val="Avenir LT Std 55 Roman"/>
        <family val="2"/>
      </rPr>
      <t>[C]</t>
    </r>
  </si>
  <si>
    <r>
      <t xml:space="preserve">Terminal Infrastructure (Berth to Emission Control System Piping) Cost </t>
    </r>
    <r>
      <rPr>
        <vertAlign val="superscript"/>
        <sz val="11"/>
        <color theme="1"/>
        <rFont val="Avenir LT Std 55 Roman"/>
        <family val="2"/>
      </rPr>
      <t>[D]</t>
    </r>
  </si>
  <si>
    <r>
      <t xml:space="preserve">Crane Cost </t>
    </r>
    <r>
      <rPr>
        <vertAlign val="superscript"/>
        <sz val="11"/>
        <color theme="1"/>
        <rFont val="Avenir LT Std 55 Roman"/>
        <family val="2"/>
      </rPr>
      <t>[B]</t>
    </r>
  </si>
  <si>
    <r>
      <t xml:space="preserve">Number of Cranes per Berth </t>
    </r>
    <r>
      <rPr>
        <vertAlign val="superscript"/>
        <sz val="11"/>
        <color theme="1"/>
        <rFont val="Avenir LT Std 55 Roman"/>
        <family val="2"/>
      </rPr>
      <t>[E]</t>
    </r>
  </si>
  <si>
    <r>
      <t xml:space="preserve">Crane Support Structure </t>
    </r>
    <r>
      <rPr>
        <vertAlign val="superscript"/>
        <sz val="11"/>
        <color theme="1"/>
        <rFont val="Avenir LT Std 55 Roman"/>
        <family val="2"/>
      </rPr>
      <t>[B]</t>
    </r>
  </si>
  <si>
    <r>
      <t xml:space="preserve">Number of Crane Support Structures per Berth </t>
    </r>
    <r>
      <rPr>
        <vertAlign val="superscript"/>
        <sz val="11"/>
        <color theme="1"/>
        <rFont val="Avenir LT Std 55 Roman"/>
        <family val="2"/>
      </rPr>
      <t>[E]</t>
    </r>
  </si>
  <si>
    <r>
      <t xml:space="preserve">Electric Utility Infrastructure Cost </t>
    </r>
    <r>
      <rPr>
        <vertAlign val="superscript"/>
        <sz val="11"/>
        <color theme="1"/>
        <rFont val="Avenir LT Std 55 Roman"/>
        <family val="2"/>
      </rPr>
      <t>[F]</t>
    </r>
  </si>
  <si>
    <r>
      <t xml:space="preserve">Demurrage </t>
    </r>
    <r>
      <rPr>
        <vertAlign val="superscript"/>
        <sz val="11"/>
        <rFont val="Avenir LT Std 55 Roman"/>
        <family val="2"/>
      </rPr>
      <t>[F]</t>
    </r>
  </si>
  <si>
    <r>
      <t xml:space="preserve">Labor Costs </t>
    </r>
    <r>
      <rPr>
        <vertAlign val="superscript"/>
        <sz val="11"/>
        <color theme="1"/>
        <rFont val="Avenir LT Std 55 Roman"/>
        <family val="2"/>
      </rPr>
      <t>[</t>
    </r>
    <r>
      <rPr>
        <vertAlign val="superscript"/>
        <sz val="11"/>
        <rFont val="Avenir LT Std 55 Roman"/>
        <family val="2"/>
      </rPr>
      <t>G</t>
    </r>
    <r>
      <rPr>
        <vertAlign val="superscript"/>
        <sz val="11"/>
        <color theme="1"/>
        <rFont val="Avenir LT Std 55 Roman"/>
        <family val="2"/>
      </rPr>
      <t>]</t>
    </r>
  </si>
  <si>
    <r>
      <t xml:space="preserve">Annual Maintenance Costs </t>
    </r>
    <r>
      <rPr>
        <vertAlign val="superscript"/>
        <sz val="11"/>
        <color theme="1"/>
        <rFont val="Avenir LT Std 55 Roman"/>
        <family val="2"/>
      </rPr>
      <t>[</t>
    </r>
    <r>
      <rPr>
        <vertAlign val="superscript"/>
        <sz val="11"/>
        <rFont val="Avenir LT Std 55 Roman"/>
        <family val="2"/>
      </rPr>
      <t>H</t>
    </r>
    <r>
      <rPr>
        <vertAlign val="superscript"/>
        <sz val="11"/>
        <color theme="1"/>
        <rFont val="Avenir LT Std 55 Roman"/>
        <family val="2"/>
      </rPr>
      <t>]</t>
    </r>
  </si>
  <si>
    <r>
      <t xml:space="preserve">Operating Costs </t>
    </r>
    <r>
      <rPr>
        <vertAlign val="superscript"/>
        <sz val="11"/>
        <color theme="1"/>
        <rFont val="Avenir LT Std 55 Roman"/>
        <family val="2"/>
      </rPr>
      <t>[I]</t>
    </r>
  </si>
  <si>
    <t>[B] Claimed confidential data obtained from industry sources that requested non-attribution.</t>
  </si>
  <si>
    <t>[A] Claimed confidential data obtained from industry sources that requested non-attribution. Cost analysis assumes that this cost is incurred for each berth at tanker terminals.</t>
  </si>
  <si>
    <r>
      <t xml:space="preserve">Cost to Obtain Initial CARB Technology Approval </t>
    </r>
    <r>
      <rPr>
        <vertAlign val="superscript"/>
        <sz val="11"/>
        <color theme="1"/>
        <rFont val="Avenir LT Std 55 Roman"/>
        <family val="2"/>
      </rPr>
      <t>[B]</t>
    </r>
  </si>
  <si>
    <t>[B] Estimate from Port of San Francisco staff received 5/1/19</t>
  </si>
  <si>
    <r>
      <t xml:space="preserve">Engineering Costs - Percent Mulitplier for Capital Costs </t>
    </r>
    <r>
      <rPr>
        <vertAlign val="superscript"/>
        <sz val="11"/>
        <color theme="1"/>
        <rFont val="Avenir LT Std 55 Roman"/>
        <family val="2"/>
      </rPr>
      <t>[B]</t>
    </r>
  </si>
  <si>
    <r>
      <t xml:space="preserve">Permitting Costs - Percent Multiplier for Capital Costs </t>
    </r>
    <r>
      <rPr>
        <vertAlign val="superscript"/>
        <sz val="11"/>
        <rFont val="Avenir LT Std 55 Roman"/>
        <family val="2"/>
      </rPr>
      <t>[C]</t>
    </r>
  </si>
  <si>
    <t>[B] Based on conversations with Chevron and Marathon, as described in Inputs and Assumptions document.</t>
  </si>
  <si>
    <t>[B] Based on conversations with Chevron, Marathon and Valero, as described in Inputs and Assumptions document.</t>
  </si>
  <si>
    <t>1. Land-Based Emission Treatment Systems [#] x Land-Based Emission Treatment System Cost [$] x [1 + Compounded Growth Factor [fraction]] x CRF [fraction]</t>
  </si>
  <si>
    <t>7. Σ [Terminal Cable Reels [#],port x % capital cost incurred by terminal [%],port] x Capital Cost per Terminal Cable Reel [$] x CRF [fraction] x [1 + Compounded Growth Factor [fraction]]</t>
  </si>
  <si>
    <t>[A] Average of June 2018 survey data, plus an additional cost for the Emission Control System support structure (see Inputs and Assumptions document for details)</t>
  </si>
  <si>
    <t>Local Agencies Combined</t>
  </si>
  <si>
    <t>Number of Other State Agency PY - 1st Yr</t>
  </si>
  <si>
    <t>Number of Other State Agency PY - subsequent</t>
  </si>
  <si>
    <t>Number of Local Agency PY - 1st Yr</t>
  </si>
  <si>
    <t>Number of Local Agency PY - subsequent</t>
  </si>
  <si>
    <t>CARB and Other State, Local and Federal Agency PY Costs</t>
  </si>
  <si>
    <t>Number of Federal Agency PY - 1st Yr</t>
  </si>
  <si>
    <t>Number of Federal Agency PY - subsequent</t>
  </si>
  <si>
    <t>Federal Agencies Combined</t>
  </si>
  <si>
    <t>5. Cost for all new Local Agency PYs</t>
  </si>
  <si>
    <t>5. Cost for all new Federal Agency PYs</t>
  </si>
  <si>
    <t>Other State Agencies Combined</t>
  </si>
  <si>
    <t>Costs/Savings Incurred by</t>
  </si>
  <si>
    <t>Capital Costs (all POLB/POLA)</t>
  </si>
  <si>
    <t>Capital Costs (all POLB only)</t>
  </si>
  <si>
    <t>Engineering Costs (all POLB/POLA)</t>
  </si>
  <si>
    <t>Feasibility Study Costs (all POLB/POLA)</t>
  </si>
  <si>
    <t>Permitting Costs (POLB/POLA only)</t>
  </si>
  <si>
    <t>Permitting Costs (POLB only)</t>
  </si>
  <si>
    <t>Feasibility Study Costs (POLB only)</t>
  </si>
  <si>
    <t>Engineering Costs (POLB only)</t>
  </si>
  <si>
    <t>Engineering</t>
  </si>
  <si>
    <t>Permitting</t>
  </si>
  <si>
    <t>POLB Tanker berths</t>
  </si>
  <si>
    <t>POLA Tanker berths</t>
  </si>
  <si>
    <t>POLB Tanker terminals</t>
  </si>
  <si>
    <t>POLB Cruise terminals</t>
  </si>
  <si>
    <t>POLB Container/Reefer terminals</t>
  </si>
  <si>
    <t>Port Plan Unit Cost per terminal</t>
  </si>
  <si>
    <t>Total Costs to Port - POLB</t>
  </si>
  <si>
    <t>Land-Based Capture and Control Costs - Tankers</t>
  </si>
  <si>
    <t>Based on # of terminals and berths in "Berths, Terminals, Vessels" tab</t>
  </si>
  <si>
    <t>Total Costs to Port - Hueneme</t>
  </si>
  <si>
    <t>Container/Reefer Terminals</t>
  </si>
  <si>
    <t>2020-2021</t>
  </si>
  <si>
    <t>Plan cost incurred in 12-month period prior to due date</t>
  </si>
  <si>
    <t>Terminal Plan Updates - Tankers (POLA/POLB)</t>
  </si>
  <si>
    <t>Terminal Plan Updates - Tankers (All Other Statewide)</t>
  </si>
  <si>
    <t>2023-2024</t>
  </si>
  <si>
    <t>2025-2026</t>
  </si>
  <si>
    <t>2027-2028</t>
  </si>
  <si>
    <t>See "Cost Inputs" tab for timing of initial port and terminal plans and terminal plan updates</t>
  </si>
  <si>
    <t>Total 
2020 - 2032</t>
  </si>
  <si>
    <t>Feasibility, Engineering and Permitting Costs for Tanker Terminal Capture and Control and Shore Power Projects - All Other Statewide</t>
  </si>
  <si>
    <t>Feasibility, Engineering and Permitting Costs for Tanker Terminal Capture and Control and Shore Power Projects - POLA/POLB</t>
  </si>
  <si>
    <t xml:space="preserve">Feasibility </t>
  </si>
  <si>
    <t>Alternative 1 - Tanker Terminal Costs</t>
  </si>
  <si>
    <t>Engineering Costs - POLA/POLB Tanker Terminals, Capture and Control</t>
  </si>
  <si>
    <t>Permitting Costs - POLA/POLB Tanker Terminals, Capture and Control</t>
  </si>
  <si>
    <t>Engineering Costs - All Other Terminals Statewide, Capture and Control</t>
  </si>
  <si>
    <t>cost per berth retrofit</t>
  </si>
  <si>
    <t>Engineering Costs - POLA/POLB Tanker Terminals, Shore Power</t>
  </si>
  <si>
    <t>Permitting Costs - POLA/POLB Tanker Terminals, Shore Power</t>
  </si>
  <si>
    <t>Engineering Costs - All Other Terminals Statewide, Shore Power</t>
  </si>
  <si>
    <t>Alt. 1 only</t>
  </si>
  <si>
    <t>Other</t>
  </si>
  <si>
    <t>POLA/ POLB</t>
  </si>
  <si>
    <t>Tankers - All</t>
  </si>
  <si>
    <t>POLB Analysis</t>
  </si>
  <si>
    <t>Hueneme Analysis</t>
  </si>
  <si>
    <r>
      <t>Shore Power Terminal Equipment Maintenance Costs - Container/Reefer</t>
    </r>
    <r>
      <rPr>
        <vertAlign val="superscript"/>
        <sz val="11"/>
        <color theme="1"/>
        <rFont val="Avenir LT Std 55 Roman"/>
        <family val="2"/>
      </rPr>
      <t>[A]</t>
    </r>
  </si>
  <si>
    <r>
      <t xml:space="preserve">Shore Power Terminal Equipment Maintenance Costs - Cruise </t>
    </r>
    <r>
      <rPr>
        <vertAlign val="superscript"/>
        <sz val="11"/>
        <color theme="1"/>
        <rFont val="Avenir LT Std 55 Roman"/>
        <family val="2"/>
      </rPr>
      <t>[E]</t>
    </r>
  </si>
  <si>
    <r>
      <t xml:space="preserve">Shore Power Vessel Equipment Maintenance Costs </t>
    </r>
    <r>
      <rPr>
        <vertAlign val="superscript"/>
        <sz val="11"/>
        <color theme="1"/>
        <rFont val="Avenir LT Std 55 Roman"/>
        <family val="2"/>
      </rPr>
      <t>[A]</t>
    </r>
  </si>
  <si>
    <t>[E] Letter from Port of San Francisco dated 5/29/19</t>
  </si>
  <si>
    <t>Shore Power Terminal Equipment Maintenance Costs - Container/Reefer</t>
  </si>
  <si>
    <t>Shore Power Terminal Equipment Maintenance Costs - Cruise</t>
  </si>
  <si>
    <t>Shore Power Retrofit Cost per Berth - Tanker Berths</t>
  </si>
  <si>
    <t>Number of CARB PY - ART - 1st Yr</t>
  </si>
  <si>
    <t>Number of CARB PY - ART - subsequent</t>
  </si>
  <si>
    <t>[C] Port of Oakland charges shore power users an hourly fee.</t>
  </si>
  <si>
    <r>
      <t>Shore Power Energy Costs</t>
    </r>
    <r>
      <rPr>
        <b/>
        <vertAlign val="superscript"/>
        <sz val="11"/>
        <color theme="1"/>
        <rFont val="Avenir LT Std 55 Roman"/>
        <family val="2"/>
      </rPr>
      <t xml:space="preserve"> [C]</t>
    </r>
  </si>
  <si>
    <t>Cost Apportionment - SP Energy</t>
  </si>
  <si>
    <t>1. Shore Power Electricity Costs (Alt 1)</t>
  </si>
  <si>
    <t>Ro-Ro Land-Based C&amp;C Capital Costs</t>
  </si>
  <si>
    <t>Terminals Value</t>
  </si>
  <si>
    <t>Terminal Reporting - Bulk</t>
  </si>
  <si>
    <t>Vessel Reporting - Bulk</t>
  </si>
  <si>
    <t>Terminal Reporting - General</t>
  </si>
  <si>
    <t>Vessel Reporting - General</t>
  </si>
  <si>
    <t>Bulk/General Cargo</t>
  </si>
  <si>
    <t>Bulk/General Cargo (Total)</t>
  </si>
  <si>
    <t>Number of Annual Vessel Reports - Bulk/General Cargo</t>
  </si>
  <si>
    <t>Number of Annual Terminal Reports - Bulk/General Cargo</t>
  </si>
  <si>
    <t>Air Pollution Specialist (Range C) - TTD</t>
  </si>
  <si>
    <t>Air Resources Technician II - TTD</t>
  </si>
  <si>
    <t>Air Resources Technician II - Enforcement</t>
  </si>
  <si>
    <t>Cost per CARB PY - APS Range C Cost - 1st Yr</t>
  </si>
  <si>
    <t>Cost per CARB PY - APS Range C Cost - subsequent</t>
  </si>
  <si>
    <t>Cost per CARB PY - ARE Range D Cost -1st Yr</t>
  </si>
  <si>
    <t>Cost per CARB PY - ARE Range D Cost - subsequent</t>
  </si>
  <si>
    <t>Cost per CARB PY - ART II - 1st Yr</t>
  </si>
  <si>
    <t>Cost per CARB PY - ART II - subsequent</t>
  </si>
  <si>
    <t>Number of CARB PY - APS Range C 1st Yr</t>
  </si>
  <si>
    <t>Number of CARB PY - APS Range C subsequent</t>
  </si>
  <si>
    <t>Number of CARB PY - ARE Range D 1st Yr</t>
  </si>
  <si>
    <t>Number of CARB PY - ARE Range D subsequent</t>
  </si>
  <si>
    <r>
      <t xml:space="preserve">Shore Power and Land-Based C&amp;C Labor Costs </t>
    </r>
    <r>
      <rPr>
        <b/>
        <vertAlign val="superscript"/>
        <sz val="11"/>
        <color theme="1"/>
        <rFont val="Avenir LT Std 55 Roman"/>
        <family val="2"/>
      </rPr>
      <t>[B]</t>
    </r>
  </si>
  <si>
    <r>
      <t xml:space="preserve">Shore Power and Land-Based C&amp;C Maintenance Costs </t>
    </r>
    <r>
      <rPr>
        <b/>
        <vertAlign val="superscript"/>
        <sz val="11"/>
        <color theme="1"/>
        <rFont val="Avenir LT Std 55 Roman"/>
        <family val="2"/>
      </rPr>
      <t>[B]</t>
    </r>
  </si>
  <si>
    <t>POLA Berths</t>
  </si>
  <si>
    <t>POLB Berths</t>
  </si>
  <si>
    <t>SP Feasibility, Engineering and Permitting Costs</t>
  </si>
  <si>
    <t>Hide these rows and set the print area for just the summary above.</t>
  </si>
  <si>
    <t>Barge-Based Capture and Control: No costs for POLB (costs incurred by vessel operators and technology developers only.)</t>
  </si>
  <si>
    <t>Shore Power Costs</t>
  </si>
  <si>
    <t>Barge-based and land-based capture and control system capital costs, operating costs, CARB approval costs, and hourly fee costs for Container/Reefer and Ro-Ro terminals and vessels</t>
  </si>
  <si>
    <t>Ro-Ro</t>
  </si>
  <si>
    <t>Land-Based Capture and Control - Ro-Ro</t>
  </si>
  <si>
    <t>Ro-Ro Vessels - Barge-Based</t>
  </si>
  <si>
    <t>Ro-Ro Vessels - Land-Based</t>
  </si>
  <si>
    <r>
      <t>Shore Power Retrofit Cost per Vessel - Ro-Ro Vessels</t>
    </r>
    <r>
      <rPr>
        <vertAlign val="superscript"/>
        <sz val="11"/>
        <color theme="1"/>
        <rFont val="Avenir LT Std 55 Roman"/>
        <family val="2"/>
      </rPr>
      <t>[A]</t>
    </r>
  </si>
  <si>
    <r>
      <t xml:space="preserve">Year Maintenance Begins - Ro-Ro </t>
    </r>
    <r>
      <rPr>
        <vertAlign val="superscript"/>
        <sz val="11"/>
        <color theme="1"/>
        <rFont val="Avenir LT Std 55 Roman"/>
        <family val="2"/>
      </rPr>
      <t>[C]</t>
    </r>
  </si>
  <si>
    <t>Port Plans - Ro-Ro</t>
  </si>
  <si>
    <t>Terminal Plans - Ro-Ro</t>
  </si>
  <si>
    <t>Terminal Plan Updates - Ro-Ro</t>
  </si>
  <si>
    <t>Terminal Reporting - Ro-Ro</t>
  </si>
  <si>
    <t>Vessel Reporting - Ro-Ro</t>
  </si>
  <si>
    <r>
      <t xml:space="preserve">Land-Based Emission Treatment System Cost - RoRo Terminals </t>
    </r>
    <r>
      <rPr>
        <vertAlign val="superscript"/>
        <sz val="11"/>
        <color theme="1"/>
        <rFont val="Avenir LT Std 55 Roman"/>
        <family val="2"/>
      </rPr>
      <t>[A]</t>
    </r>
  </si>
  <si>
    <r>
      <t xml:space="preserve">Ro-Ro </t>
    </r>
    <r>
      <rPr>
        <vertAlign val="superscript"/>
        <sz val="11"/>
        <color theme="1"/>
        <rFont val="Avenir LT Std 55 Roman"/>
        <family val="2"/>
      </rPr>
      <t>[B]</t>
    </r>
  </si>
  <si>
    <t>[B] Value for Auto vessels used, due to high relative vessel visits compared to Ro-Ro vessels</t>
  </si>
  <si>
    <r>
      <t xml:space="preserve">Ro-Ro </t>
    </r>
    <r>
      <rPr>
        <b/>
        <vertAlign val="superscript"/>
        <sz val="11"/>
        <color theme="1"/>
        <rFont val="Avenir LT Std 55 Roman"/>
        <family val="2"/>
      </rPr>
      <t>[B]</t>
    </r>
  </si>
  <si>
    <t>Ro-'Ro</t>
  </si>
  <si>
    <t>RO-RO</t>
  </si>
  <si>
    <t>[B] Includes all Ro-Ro vessels that visited California in 2017 based on CSLC data.</t>
  </si>
  <si>
    <t>Ports Value</t>
  </si>
  <si>
    <t>Costs (All Adjusted for Annual Growth)
Alternative 1 for Ro-Ro and Tanker Vessels</t>
  </si>
  <si>
    <t>8. Cost per Berth [$] x Number of Berths [#] /7 years</t>
  </si>
  <si>
    <t xml:space="preserve">8. Feasibility </t>
  </si>
  <si>
    <t>8. Engineering</t>
  </si>
  <si>
    <t>8. Permitting</t>
  </si>
  <si>
    <t>Berth Retrofits - Ro-Ro</t>
  </si>
  <si>
    <t>Compound Growth Factor - Ro-Ro</t>
  </si>
  <si>
    <t>*Under Alternative 2, no costs are incurred for Ro-Ro.</t>
  </si>
  <si>
    <t>*Ro-Ro vessels are not subject to emission control requirements under Alternative 2.</t>
  </si>
  <si>
    <t>Shore Power Retrofit Cost per Vessel - Ro-Ro Vessels</t>
  </si>
  <si>
    <r>
      <t xml:space="preserve">2. </t>
    </r>
    <r>
      <rPr>
        <sz val="11"/>
        <rFont val="Calibri"/>
        <family val="2"/>
      </rPr>
      <t>Σ</t>
    </r>
    <r>
      <rPr>
        <i/>
        <sz val="11"/>
        <rFont val="Avenir LT Std 55 Roman"/>
        <family val="2"/>
      </rPr>
      <t xml:space="preserve"> [Annual Vessel Visits [#],port x % capital cost incurred by port [%],port] x Shore Power Connection Cost per Visit [$] x [1 + Compounded Growth Factor [fraction]]</t>
    </r>
  </si>
  <si>
    <r>
      <t xml:space="preserve">3. </t>
    </r>
    <r>
      <rPr>
        <sz val="11"/>
        <rFont val="Calibri"/>
        <family val="2"/>
      </rPr>
      <t>Σ</t>
    </r>
    <r>
      <rPr>
        <i/>
        <sz val="11"/>
        <rFont val="Avenir LT Std 55 Roman"/>
        <family val="2"/>
      </rPr>
      <t xml:space="preserve"> [Annual Vessel Visits [#],port x % capital cost incurred by terminal [%],port] x Shore Power Connection Cost per Visit [$] x [1 + Compounded Growth Factor [fraction]]</t>
    </r>
  </si>
  <si>
    <t>Average Ro-Ro Vessel Power</t>
  </si>
  <si>
    <t>*Ro-Ro vessels are excluded from emission control requirements under Alternative 2.</t>
  </si>
  <si>
    <t>Container/Reefer &amp; Ro-Ro</t>
  </si>
  <si>
    <t>Hourly Fee - Container/Reefer, Ro-Ro</t>
  </si>
  <si>
    <t>Land-Based Emission Treatment System Cost - Ro-Ro Terminals</t>
  </si>
  <si>
    <t>Land-Based Emission Treatment Systems - Ro-Ro Vessels</t>
  </si>
  <si>
    <t>Annual C&amp;C Land-Based Vessel Visits - Ro-Ro</t>
  </si>
  <si>
    <t>Annual C&amp;C Barge-Based Vessel Visits - Ro-Ro</t>
  </si>
  <si>
    <t>Ro-Ro Compounded Growth Factors</t>
  </si>
  <si>
    <t>Ro-Ro*</t>
  </si>
  <si>
    <t>*Under Alternative 2, port plan and terminal plan costs are not incurred for Ro-Ro.</t>
  </si>
  <si>
    <t>State Agencies</t>
  </si>
  <si>
    <t>Local Agencies</t>
  </si>
  <si>
    <t>Federal Agencies</t>
  </si>
  <si>
    <t>*Under Alternative 2, port and terminal plan costs are not incurred for Ro-Ro.</t>
  </si>
  <si>
    <t xml:space="preserve">Total: </t>
  </si>
  <si>
    <t>Cost per CSLC and other State Agency PY - 1st Yr</t>
  </si>
  <si>
    <t>Cost per CSLC and other State Agency PY - subsequent</t>
  </si>
  <si>
    <t>Cost per Other Agency PY - 1st Yr (Local and Federal)</t>
  </si>
  <si>
    <t>Cost per Other Agency PY - subsequent (Local and Federal)</t>
  </si>
  <si>
    <t>Number of Port Plan Terminals - Container/Reefer</t>
  </si>
  <si>
    <t>Number of Port Plan Terminals - Cruise</t>
  </si>
  <si>
    <r>
      <t xml:space="preserve">Number of Port Plan Terminals - </t>
    </r>
    <r>
      <rPr>
        <b/>
        <sz val="11"/>
        <rFont val="Avenir LT Std 55 Roman"/>
        <family val="2"/>
      </rPr>
      <t>All</t>
    </r>
    <r>
      <rPr>
        <sz val="11"/>
        <rFont val="Avenir LT Std 55 Roman"/>
        <family val="2"/>
      </rPr>
      <t xml:space="preserve"> Tankers</t>
    </r>
  </si>
  <si>
    <t>Number of Terminal Plan Berths - Container/Reefer</t>
  </si>
  <si>
    <t>Number of Terminal Plan Berths - Cruise</t>
  </si>
  <si>
    <t>Number of Terminal Plan Berths - POLA/POLB Tankers</t>
  </si>
  <si>
    <t>Number of Terminal Plan Berths - All Other Tankers Statewide</t>
  </si>
  <si>
    <t>5. Cost for other state agency PYs including CSLC</t>
  </si>
  <si>
    <t>Number of Port Plan Terminals - Ro-Ro</t>
  </si>
  <si>
    <t>Number of Terminal Plan Berths - Ro-Ro</t>
  </si>
  <si>
    <t>Number of Annual Terminal Reports - Ro-Ro</t>
  </si>
  <si>
    <t>Number of Annual Vessel Reports - Ro-Ro</t>
  </si>
  <si>
    <t>POLB Ro-Ro terminals</t>
  </si>
  <si>
    <t>Land-Based Capture and Control Costs - Ro-Ro</t>
  </si>
  <si>
    <t>Port of Long Beach - Proposed Regulation</t>
  </si>
  <si>
    <t>Port of Hueneme - Proposed Regulation</t>
  </si>
  <si>
    <t>Ro-Ro Terminals</t>
  </si>
  <si>
    <t>Prop. Reg./Alt. 1</t>
  </si>
  <si>
    <t>Costs (All Adjusted for Annual Growth) Proposed Reg. / Alt. 1</t>
  </si>
  <si>
    <t>Proposed Reg./Alt. 2</t>
  </si>
  <si>
    <t>Costs (All Adjusted for Annual Growth)
Proposed Regulation/Alternative 2</t>
  </si>
  <si>
    <t>Cost Savings (All Adjusted for Annual Growth) Proposed Regulation/Alternative 2</t>
  </si>
  <si>
    <t>Costs by Vessel Type - Proposed Regulation and Alt. 2*</t>
  </si>
  <si>
    <t>Cost Savings by Vessel Type - Proposed Regulation and Alt. 2</t>
  </si>
  <si>
    <t>Costs (All Adjusted for Annual Growth) Proposed Reg. / Alt. 2</t>
  </si>
  <si>
    <t>Cost Savings (All Adjusted for Annual Growth) Proposed Reg. / Alt. 2</t>
  </si>
  <si>
    <t>*Under Alternative 2, no shore power labor or energy costs are incurred for Ro-Ro. Under both the Proposed Regulation and Alternative 2, Ro-Ro and Tanker vessels are not expected to install shore power.</t>
  </si>
  <si>
    <t>Number of Vessel SP Retrofits - Proposed Reg./Alt. 2</t>
  </si>
  <si>
    <t>Costs (All Adjusted for Annual Growth)
Proposed Regulation/Alternative 2*</t>
  </si>
  <si>
    <t>*Under Alternative 2, no vessel retrofit costs are incurred for Ro-Ro. Under both the Proposed Regulation and Alternative 2, Ro-Ro and Tanker berths are not expected to install shore power.</t>
  </si>
  <si>
    <t>Proposed Regulation &amp; Alternative 2</t>
  </si>
  <si>
    <t>Costs (All Adjusted for Annual Growth)
Proposed Regulation</t>
  </si>
  <si>
    <t>Costs by Vessel Type - Proposed Regulation and Alternative 2*</t>
  </si>
  <si>
    <t>*Under Alternative 2, no costs are incurred for Ro-Ro. Under both the Proposed Regulation and Alternative 2, Ro-Ro and Tanker berths are not expected to install shore power.</t>
  </si>
  <si>
    <t>Costs (All Adjusted for Annual Growth) Proposed Regulation</t>
  </si>
  <si>
    <t>Proposed Reg.</t>
  </si>
  <si>
    <t>Barge-Based Capture &amp; Control Costs 
(All Adjusted for Annual Growth)
Proposed Regulation/Alternative 2*</t>
  </si>
  <si>
    <t>Land-Based Capture &amp; Control Costs 
(All Adjusted for Annual Growth)
Proposed Regulation/Alternative 2*</t>
  </si>
  <si>
    <r>
      <t xml:space="preserve">C. </t>
    </r>
    <r>
      <rPr>
        <b/>
        <i/>
        <sz val="11"/>
        <color theme="1"/>
        <rFont val="Avenir LT Std 55 Roman"/>
        <family val="2"/>
      </rPr>
      <t>Prop. Reg. &amp; Alt. 2</t>
    </r>
    <r>
      <rPr>
        <b/>
        <sz val="11"/>
        <color theme="1"/>
        <rFont val="Avenir LT Std 55 Roman"/>
        <family val="2"/>
      </rPr>
      <t xml:space="preserve"> Annual Vessel Visits from Infrequent Vessels Not Antici-pated to Install Shore Power</t>
    </r>
  </si>
  <si>
    <t>9. Prop.. Reg./Alt. 2 Capture &amp; Control Land-Based Visits</t>
  </si>
  <si>
    <t>9. Prop. Reg./Alt. 2 Capture &amp; Control Land-Based Visits</t>
  </si>
  <si>
    <r>
      <t xml:space="preserve">9. </t>
    </r>
    <r>
      <rPr>
        <b/>
        <i/>
        <sz val="11"/>
        <color theme="1"/>
        <rFont val="Avenir LT Std 55 Roman"/>
        <family val="2"/>
      </rPr>
      <t>Prop. Reg. &amp; Alt. 2</t>
    </r>
    <r>
      <rPr>
        <b/>
        <sz val="11"/>
        <color theme="1"/>
        <rFont val="Avenir LT Std 55 Roman"/>
        <family val="2"/>
      </rPr>
      <t xml:space="preserve"> Newly Regulated Annual Vessel Visits - Adjusted for non-SP vessels, all Exceptions, Commis-sioning TIEs, VIEs and Remedi-ation Fee Uses</t>
    </r>
  </si>
  <si>
    <r>
      <t xml:space="preserve">11. </t>
    </r>
    <r>
      <rPr>
        <b/>
        <i/>
        <sz val="11"/>
        <color theme="1"/>
        <rFont val="Avenir LT Std 55 Roman"/>
        <family val="2"/>
      </rPr>
      <t>Prop. Reg. &amp; Alt. 2</t>
    </r>
    <r>
      <rPr>
        <b/>
        <sz val="11"/>
        <color theme="1"/>
        <rFont val="Avenir LT Std 55 Roman"/>
        <family val="2"/>
      </rPr>
      <t xml:space="preserve"> Newly Regulated Annual Vessel Visits - Adjusted for non-SP vessels, Exceptions, Commis-sioning, and Remedi-ation Fee Uses Only</t>
    </r>
  </si>
  <si>
    <r>
      <t xml:space="preserve">13. </t>
    </r>
    <r>
      <rPr>
        <b/>
        <i/>
        <sz val="11"/>
        <color theme="1"/>
        <rFont val="Avenir LT Std 55 Roman"/>
        <family val="2"/>
      </rPr>
      <t>Prop. Reg. &amp; Alt. 2</t>
    </r>
    <r>
      <rPr>
        <b/>
        <sz val="11"/>
        <color theme="1"/>
        <rFont val="Avenir LT Std 55 Roman"/>
        <family val="2"/>
      </rPr>
      <t xml:space="preserve"> Capture &amp; Control Barge-Based Visits**</t>
    </r>
  </si>
  <si>
    <r>
      <t xml:space="preserve">9. </t>
    </r>
    <r>
      <rPr>
        <b/>
        <i/>
        <sz val="11"/>
        <rFont val="Avenir LT Std 55 Roman"/>
        <family val="2"/>
      </rPr>
      <t>Prop. Reg.</t>
    </r>
    <r>
      <rPr>
        <b/>
        <sz val="11"/>
        <rFont val="Avenir LT Std 55 Roman"/>
        <family val="2"/>
      </rPr>
      <t xml:space="preserve"> Capture &amp; Control Barge-Based Visits</t>
    </r>
  </si>
  <si>
    <r>
      <t xml:space="preserve">10. </t>
    </r>
    <r>
      <rPr>
        <b/>
        <i/>
        <sz val="11"/>
        <rFont val="Avenir LT Std 55 Roman"/>
        <family val="2"/>
      </rPr>
      <t>Prop. Reg.</t>
    </r>
    <r>
      <rPr>
        <b/>
        <sz val="11"/>
        <rFont val="Avenir LT Std 55 Roman"/>
        <family val="2"/>
      </rPr>
      <t xml:space="preserve"> Capture &amp; Control Land-Based Visits</t>
    </r>
  </si>
  <si>
    <t>THESE INPUTS APPLY TO THE PROPOSED REGULATION AND ALTERNATIVES 1 AND 2</t>
  </si>
  <si>
    <t>*Proposed Regulation</t>
  </si>
  <si>
    <t>Prop. Reg. &amp; Alt. 2</t>
  </si>
  <si>
    <r>
      <t>Proposed Regulation Only</t>
    </r>
    <r>
      <rPr>
        <b/>
        <vertAlign val="superscript"/>
        <sz val="11"/>
        <color theme="1"/>
        <rFont val="Avenir LT Std 55 Roman"/>
        <family val="2"/>
      </rPr>
      <t>[C]</t>
    </r>
  </si>
  <si>
    <r>
      <t>Proposed Regulation and Alternative 2</t>
    </r>
    <r>
      <rPr>
        <b/>
        <vertAlign val="superscript"/>
        <sz val="11"/>
        <color theme="1"/>
        <rFont val="Avenir LT Std 55 Roman"/>
        <family val="2"/>
      </rPr>
      <t>[B]</t>
    </r>
  </si>
  <si>
    <t>Proposed Reg./Alternative 2</t>
  </si>
  <si>
    <t>PROPOSED REGULATION AND ALTERNATIVE 2</t>
  </si>
  <si>
    <t>[A] Staff assumption that costs would be apportioned by number of infrastructure projects for each vessel type. Applying the Proposed Regulation to all scenarios as an estimate.</t>
  </si>
  <si>
    <t>Vessel Visits Prop. Reg./Alt. 1</t>
  </si>
  <si>
    <t>Compound Growth Factors Weighted by Vessel Visits - Proposed Regulation and Alternative 1</t>
  </si>
  <si>
    <t>Proposed Regulation</t>
  </si>
  <si>
    <t>Annual and total costs by vessel category for Proposed Regulation and Alternatives</t>
  </si>
  <si>
    <t>Estimated costs for Port of Long Beach</t>
  </si>
  <si>
    <t>Estimated costs for Port of Hueneme</t>
  </si>
  <si>
    <t>TANKERS</t>
  </si>
  <si>
    <t>[A] Emails from Ruben Garcia (AEG) to Angela Csondes (CARB) dated 3/27/19 and 4/3/19.</t>
  </si>
  <si>
    <r>
      <t>Hourly Fee - Container/Reefer, Ro-Ro</t>
    </r>
    <r>
      <rPr>
        <vertAlign val="superscript"/>
        <sz val="11"/>
        <color theme="1"/>
        <rFont val="Avenir LT Std 55 Roman"/>
        <family val="2"/>
      </rPr>
      <t>[A]</t>
    </r>
  </si>
  <si>
    <t>C&amp;C - Container &amp; Ro-Ro</t>
  </si>
  <si>
    <t xml:space="preserve">Proposed Regulation </t>
  </si>
  <si>
    <t xml:space="preserve">Alternative 2: Same as Draft Regulation, except ro-ro vessels (which includes auto vessels) not subject to emission control requirements </t>
  </si>
  <si>
    <t>Proposed Control Measure for Ocean-Going Vessels Operating At Berth</t>
  </si>
  <si>
    <t>This document was prepared by California Air Resources Board (CARB) Staff to calculate preliminary cost estimates for the Proposed Control Measure for Ocean-Going Vessels At Berth (Proposed Regulation).  Staff is developing these cost estimates for the Standardized Regulatory Impact Assessment (SRIA), which is required by Senate Bill (SB) 617 for proposed regulations that have an economic impact exceeding $50 million.</t>
  </si>
  <si>
    <t>APPENDIX B</t>
  </si>
  <si>
    <t>Barge-Based Capture and Control: No costs for Hueneme (costs incurred by vessel operators only.)</t>
  </si>
  <si>
    <t xml:space="preserve">CRF (5%, 20 years) for land-side equipment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</si>
</sst>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8" formatCode="&quot;$&quot;#,##0.00_);[Red]\(&quot;$&quot;#,##0.00\)"/>
    <numFmt numFmtId="44" formatCode="_(&quot;$&quot;* #,##0.00_);_(&quot;$&quot;* \(#,##0.00\);_(&quot;$&quot;* &quot;-&quot;??_);_(@_)"/>
    <numFmt numFmtId="164" formatCode="&quot;$&quot;#,##0"/>
    <numFmt numFmtId="165" formatCode="&quot;$&quot;#,##0.00"/>
    <numFmt numFmtId="166" formatCode="0.0"/>
    <numFmt numFmtId="167" formatCode="0.0000"/>
    <numFmt numFmtId="168" formatCode="0.0%"/>
    <numFmt numFmtId="169" formatCode="_(&quot;$&quot;* #,##0_);_(&quot;$&quot;* \(#,##0\);_(&quot;$&quot;* &quot;-&quot;??_);_(@_)"/>
    <numFmt numFmtId="170" formatCode="[$-409]mmmm\ d\,\ yyyy;@"/>
  </numFmts>
  <fonts count="71" x14ac:knownFonts="1">
    <font>
      <sz val="11"/>
      <color theme="1"/>
      <name val="Calibri"/>
      <family val="2"/>
      <scheme val="minor"/>
    </font>
    <font>
      <sz val="11"/>
      <color theme="1"/>
      <name val="Avenir LT Std 55 Roman"/>
      <family val="2"/>
    </font>
    <font>
      <sz val="11"/>
      <color theme="1"/>
      <name val="Avenir LT Std 55 Roman"/>
      <family val="2"/>
    </font>
    <font>
      <sz val="11"/>
      <color theme="1"/>
      <name val="Avenir LT Std 55 Roman"/>
      <family val="2"/>
    </font>
    <font>
      <sz val="11"/>
      <color theme="1"/>
      <name val="Avenir LT Std 55 Roman"/>
      <family val="2"/>
    </font>
    <font>
      <sz val="11"/>
      <color theme="1"/>
      <name val="Avenir LT Std 55 Roman"/>
      <family val="2"/>
    </font>
    <font>
      <sz val="11"/>
      <color theme="1"/>
      <name val="Avenir LT Std 55 Roman"/>
      <family val="2"/>
    </font>
    <font>
      <sz val="11"/>
      <color theme="1"/>
      <name val="Avenir LT Std 55 Roman"/>
      <family val="2"/>
    </font>
    <font>
      <sz val="11"/>
      <color theme="1"/>
      <name val="Avenir LT Std 55 Roman"/>
      <family val="2"/>
    </font>
    <font>
      <sz val="11"/>
      <color theme="1"/>
      <name val="Avenir LT Std 55 Roman"/>
      <family val="2"/>
    </font>
    <font>
      <sz val="11"/>
      <color theme="1"/>
      <name val="Avenir LT Std 55 Roman"/>
      <family val="2"/>
    </font>
    <font>
      <sz val="11"/>
      <color theme="1"/>
      <name val="Avenir LT Std 55 Roman"/>
      <family val="2"/>
    </font>
    <font>
      <sz val="11"/>
      <color theme="1"/>
      <name val="Avenir LT Std 55 Roman"/>
      <family val="2"/>
    </font>
    <font>
      <sz val="11"/>
      <color theme="1"/>
      <name val="Avenir LT Std 55 Roman"/>
      <family val="2"/>
    </font>
    <font>
      <sz val="11"/>
      <color theme="1"/>
      <name val="Avenir LT Std 55 Roman"/>
      <family val="2"/>
    </font>
    <font>
      <sz val="11"/>
      <color theme="1"/>
      <name val="Avenir LT Std 55 Roman"/>
      <family val="2"/>
    </font>
    <font>
      <sz val="11"/>
      <color theme="1"/>
      <name val="Avenir LT Std 55 Roman"/>
      <family val="2"/>
    </font>
    <font>
      <sz val="11"/>
      <color theme="1"/>
      <name val="Avenir LT Std 55 Roman"/>
      <family val="2"/>
    </font>
    <font>
      <sz val="11"/>
      <color theme="1"/>
      <name val="Avenir LT Std 55 Roman"/>
      <family val="2"/>
    </font>
    <font>
      <sz val="11"/>
      <color theme="1"/>
      <name val="Avenir LT Std 55 Roman"/>
      <family val="2"/>
    </font>
    <font>
      <sz val="11"/>
      <color theme="1"/>
      <name val="Calibri"/>
      <family val="2"/>
      <scheme val="minor"/>
    </font>
    <font>
      <sz val="11"/>
      <color theme="1"/>
      <name val="Avenir LT Std 55 Roman"/>
      <family val="2"/>
    </font>
    <font>
      <b/>
      <sz val="14"/>
      <color theme="1"/>
      <name val="Avenir LT Std 55 Roman"/>
      <family val="2"/>
    </font>
    <font>
      <b/>
      <sz val="11"/>
      <color theme="1"/>
      <name val="Avenir LT Std 55 Roman"/>
      <family val="2"/>
    </font>
    <font>
      <sz val="10"/>
      <color theme="1"/>
      <name val="Avenir LT Std 55 Roman"/>
      <family val="2"/>
    </font>
    <font>
      <sz val="11"/>
      <color rgb="FFFF0000"/>
      <name val="Avenir LT Std 55 Roman"/>
      <family val="2"/>
    </font>
    <font>
      <sz val="11"/>
      <name val="Avenir LT Std 55 Roman"/>
      <family val="2"/>
    </font>
    <font>
      <b/>
      <sz val="11"/>
      <color rgb="FFFF0000"/>
      <name val="Avenir LT Std 55 Roman"/>
      <family val="2"/>
    </font>
    <font>
      <b/>
      <sz val="12"/>
      <color theme="1"/>
      <name val="Avenir LT Std 55 Roman"/>
      <family val="2"/>
    </font>
    <font>
      <b/>
      <u/>
      <sz val="11"/>
      <color theme="1"/>
      <name val="Avenir LT Std 55 Roman"/>
      <family val="2"/>
    </font>
    <font>
      <i/>
      <sz val="11"/>
      <color theme="1"/>
      <name val="Avenir LT Std 55 Roman"/>
      <family val="2"/>
    </font>
    <font>
      <b/>
      <sz val="11"/>
      <name val="Avenir LT Std 55 Roman"/>
      <family val="2"/>
    </font>
    <font>
      <b/>
      <sz val="13"/>
      <color theme="1"/>
      <name val="Avenir LT Std 55 Roman"/>
      <family val="2"/>
    </font>
    <font>
      <i/>
      <u/>
      <sz val="11"/>
      <color theme="1"/>
      <name val="Avenir LT Std 55 Roman"/>
      <family val="2"/>
    </font>
    <font>
      <i/>
      <sz val="11"/>
      <color rgb="FFFF0000"/>
      <name val="Avenir LT Std 55 Roman"/>
      <family val="2"/>
    </font>
    <font>
      <i/>
      <sz val="11"/>
      <name val="Avenir LT Std 55 Roman"/>
      <family val="2"/>
    </font>
    <font>
      <b/>
      <i/>
      <sz val="11"/>
      <color theme="1"/>
      <name val="Avenir LT Std 55 Roman"/>
      <family val="2"/>
    </font>
    <font>
      <sz val="11"/>
      <color rgb="FF0070C0"/>
      <name val="Avenir LT Std 55 Roman"/>
      <family val="2"/>
    </font>
    <font>
      <b/>
      <sz val="11"/>
      <color rgb="FF0070C0"/>
      <name val="Avenir LT Std 55 Roman"/>
      <family val="2"/>
    </font>
    <font>
      <b/>
      <i/>
      <sz val="11"/>
      <name val="Avenir LT Std 55 Roman"/>
      <family val="2"/>
    </font>
    <font>
      <i/>
      <u/>
      <sz val="11"/>
      <name val="Avenir LT Std 55 Roman"/>
      <family val="2"/>
    </font>
    <font>
      <i/>
      <sz val="11"/>
      <color rgb="FF0070C0"/>
      <name val="Avenir LT Std 55 Roman"/>
      <family val="2"/>
    </font>
    <font>
      <sz val="11"/>
      <color theme="1"/>
      <name val="Calibri"/>
      <family val="2"/>
    </font>
    <font>
      <b/>
      <sz val="11"/>
      <color theme="9" tint="-0.249977111117893"/>
      <name val="Avenir LT Std 55 Roman"/>
      <family val="2"/>
    </font>
    <font>
      <b/>
      <vertAlign val="superscript"/>
      <sz val="11"/>
      <color theme="1"/>
      <name val="Avenir LT Std 55 Roman"/>
      <family val="2"/>
    </font>
    <font>
      <b/>
      <vertAlign val="superscript"/>
      <sz val="11"/>
      <name val="Avenir LT Std 55 Roman"/>
      <family val="2"/>
    </font>
    <font>
      <vertAlign val="superscript"/>
      <sz val="11"/>
      <color theme="1"/>
      <name val="Avenir LT Std 55 Roman"/>
      <family val="2"/>
    </font>
    <font>
      <sz val="11"/>
      <color theme="0" tint="-0.499984740745262"/>
      <name val="Avenir LT Std 55 Roman"/>
      <family val="2"/>
    </font>
    <font>
      <b/>
      <sz val="11"/>
      <color theme="0" tint="-0.499984740745262"/>
      <name val="Avenir LT Std 55 Roman"/>
      <family val="2"/>
    </font>
    <font>
      <b/>
      <sz val="12"/>
      <name val="Avenir LT Std 55 Roman"/>
      <family val="2"/>
    </font>
    <font>
      <i/>
      <sz val="11"/>
      <color theme="0" tint="-0.499984740745262"/>
      <name val="Avenir LT Std 55 Roman"/>
      <family val="2"/>
    </font>
    <font>
      <sz val="11"/>
      <color theme="9" tint="-0.249977111117893"/>
      <name val="Avenir LT Std 55 Roman"/>
      <family val="2"/>
    </font>
    <font>
      <b/>
      <vertAlign val="superscript"/>
      <sz val="12"/>
      <color theme="1"/>
      <name val="Avenir LT Std 55 Roman"/>
      <family val="2"/>
    </font>
    <font>
      <sz val="10"/>
      <name val="Avenir LT Std 55 Roman"/>
      <family val="2"/>
    </font>
    <font>
      <sz val="11"/>
      <color theme="5" tint="-0.249977111117893"/>
      <name val="Avenir LT Std 55 Roman"/>
      <family val="2"/>
    </font>
    <font>
      <b/>
      <sz val="13"/>
      <color theme="0" tint="-0.499984740745262"/>
      <name val="Avenir LT Std 55 Roman"/>
      <family val="2"/>
    </font>
    <font>
      <i/>
      <sz val="11"/>
      <color theme="0" tint="-0.34998626667073579"/>
      <name val="Avenir LT Std 55 Roman"/>
      <family val="2"/>
    </font>
    <font>
      <vertAlign val="superscript"/>
      <sz val="11"/>
      <name val="Avenir LT Std 55 Roman"/>
      <family val="2"/>
    </font>
    <font>
      <sz val="11"/>
      <name val="Calibri"/>
      <family val="2"/>
    </font>
    <font>
      <b/>
      <sz val="11"/>
      <color rgb="FFC00000"/>
      <name val="Avenir LT Std 55 Roman"/>
      <family val="2"/>
    </font>
    <font>
      <sz val="11"/>
      <color rgb="FFC00000"/>
      <name val="Avenir LT Std 55 Roman"/>
      <family val="2"/>
    </font>
    <font>
      <b/>
      <sz val="11"/>
      <color rgb="FF00B050"/>
      <name val="Calibri"/>
      <family val="2"/>
      <scheme val="minor"/>
    </font>
    <font>
      <b/>
      <sz val="11"/>
      <color rgb="FF00B050"/>
      <name val="Avenir LT Std 55 Roman"/>
      <family val="2"/>
    </font>
    <font>
      <b/>
      <sz val="14"/>
      <name val="Avenir LT Std 55 Roman"/>
      <family val="2"/>
    </font>
    <font>
      <b/>
      <u/>
      <sz val="11"/>
      <name val="Avenir LT Std 55 Roman"/>
      <family val="2"/>
    </font>
    <font>
      <sz val="11"/>
      <color theme="1"/>
      <name val="Arial"/>
      <family val="2"/>
    </font>
    <font>
      <sz val="12"/>
      <name val="Arial"/>
      <family val="2"/>
    </font>
    <font>
      <u/>
      <sz val="12"/>
      <color theme="1"/>
      <name val="Arial"/>
      <family val="2"/>
    </font>
    <font>
      <sz val="12"/>
      <color theme="1"/>
      <name val="Arial"/>
      <family val="2"/>
    </font>
    <font>
      <b/>
      <sz val="16"/>
      <color theme="1"/>
      <name val="Arial"/>
      <family val="2"/>
    </font>
    <font>
      <sz val="16"/>
      <color theme="1"/>
      <name val="Calibri"/>
      <family val="2"/>
      <scheme val="minor"/>
    </font>
  </fonts>
  <fills count="9">
    <fill>
      <patternFill patternType="none"/>
    </fill>
    <fill>
      <patternFill patternType="gray125"/>
    </fill>
    <fill>
      <patternFill patternType="lightUp"/>
    </fill>
    <fill>
      <patternFill patternType="solid">
        <fgColor theme="0" tint="-4.9989318521683403E-2"/>
        <bgColor indexed="64"/>
      </patternFill>
    </fill>
    <fill>
      <patternFill patternType="solid">
        <fgColor rgb="FFFFFF00"/>
        <bgColor indexed="64"/>
      </patternFill>
    </fill>
    <fill>
      <patternFill patternType="solid">
        <fgColor theme="9" tint="0.59999389629810485"/>
        <bgColor indexed="64"/>
      </patternFill>
    </fill>
    <fill>
      <patternFill patternType="lightUp">
        <bgColor auto="1"/>
      </patternFill>
    </fill>
    <fill>
      <patternFill patternType="solid">
        <fgColor theme="4" tint="0.59999389629810485"/>
        <bgColor indexed="64"/>
      </patternFill>
    </fill>
    <fill>
      <patternFill patternType="solid">
        <fgColor rgb="FFCC99FF"/>
        <bgColor indexed="64"/>
      </patternFill>
    </fill>
  </fills>
  <borders count="7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thin">
        <color indexed="64"/>
      </right>
      <top/>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right/>
      <top/>
      <bottom style="thin">
        <color indexed="64"/>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right/>
      <top style="thin">
        <color indexed="64"/>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double">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bottom style="medium">
        <color indexed="64"/>
      </bottom>
      <diagonal/>
    </border>
    <border>
      <left style="double">
        <color indexed="64"/>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thin">
        <color indexed="64"/>
      </left>
      <right style="double">
        <color indexed="64"/>
      </right>
      <top style="thin">
        <color indexed="64"/>
      </top>
      <bottom style="double">
        <color indexed="64"/>
      </bottom>
      <diagonal/>
    </border>
    <border>
      <left style="double">
        <color indexed="64"/>
      </left>
      <right style="thin">
        <color indexed="64"/>
      </right>
      <top style="thin">
        <color indexed="64"/>
      </top>
      <bottom style="double">
        <color indexed="64"/>
      </bottom>
      <diagonal/>
    </border>
    <border>
      <left style="double">
        <color indexed="64"/>
      </left>
      <right style="double">
        <color indexed="64"/>
      </right>
      <top style="thin">
        <color indexed="64"/>
      </top>
      <bottom style="double">
        <color indexed="64"/>
      </bottom>
      <diagonal/>
    </border>
    <border>
      <left style="double">
        <color indexed="64"/>
      </left>
      <right style="thin">
        <color indexed="64"/>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style="double">
        <color indexed="64"/>
      </left>
      <right style="double">
        <color indexed="64"/>
      </right>
      <top style="thin">
        <color indexed="64"/>
      </top>
      <bottom style="thin">
        <color indexed="64"/>
      </bottom>
      <diagonal/>
    </border>
    <border>
      <left style="double">
        <color indexed="64"/>
      </left>
      <right/>
      <top style="double">
        <color indexed="64"/>
      </top>
      <bottom style="thin">
        <color indexed="64"/>
      </bottom>
      <diagonal/>
    </border>
    <border>
      <left/>
      <right style="double">
        <color indexed="64"/>
      </right>
      <top style="thin">
        <color indexed="64"/>
      </top>
      <bottom/>
      <diagonal/>
    </border>
    <border>
      <left/>
      <right style="double">
        <color indexed="64"/>
      </right>
      <top/>
      <bottom style="thin">
        <color indexed="64"/>
      </bottom>
      <diagonal/>
    </border>
    <border>
      <left style="thin">
        <color indexed="64"/>
      </left>
      <right style="thin">
        <color indexed="64"/>
      </right>
      <top/>
      <bottom style="double">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double">
        <color indexed="64"/>
      </bottom>
      <diagonal/>
    </border>
    <border>
      <left style="medium">
        <color indexed="64"/>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bottom style="medium">
        <color indexed="64"/>
      </bottom>
      <diagonal/>
    </border>
    <border>
      <left/>
      <right style="medium">
        <color indexed="64"/>
      </right>
      <top style="thin">
        <color indexed="64"/>
      </top>
      <bottom/>
      <diagonal/>
    </border>
    <border>
      <left/>
      <right style="medium">
        <color indexed="64"/>
      </right>
      <top style="thin">
        <color indexed="64"/>
      </top>
      <bottom style="double">
        <color indexed="64"/>
      </bottom>
      <diagonal/>
    </border>
    <border>
      <left/>
      <right style="medium">
        <color indexed="64"/>
      </right>
      <top style="double">
        <color indexed="64"/>
      </top>
      <bottom style="thin">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double">
        <color indexed="64"/>
      </left>
      <right style="thin">
        <color indexed="64"/>
      </right>
      <top/>
      <bottom style="thin">
        <color indexed="64"/>
      </bottom>
      <diagonal/>
    </border>
    <border>
      <left/>
      <right/>
      <top style="double">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double">
        <color indexed="64"/>
      </top>
      <bottom style="medium">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s>
  <cellStyleXfs count="3">
    <xf numFmtId="0" fontId="0" fillId="0" borderId="0"/>
    <xf numFmtId="9" fontId="20" fillId="0" borderId="0" applyFont="0" applyFill="0" applyBorder="0" applyAlignment="0" applyProtection="0"/>
    <xf numFmtId="44" fontId="20" fillId="0" borderId="0" applyFont="0" applyFill="0" applyBorder="0" applyAlignment="0" applyProtection="0"/>
  </cellStyleXfs>
  <cellXfs count="1036">
    <xf numFmtId="0" fontId="0" fillId="0" borderId="0" xfId="0"/>
    <xf numFmtId="0" fontId="21" fillId="0" borderId="0" xfId="0" applyFont="1"/>
    <xf numFmtId="0" fontId="22" fillId="0" borderId="0" xfId="0" applyFont="1"/>
    <xf numFmtId="0" fontId="23" fillId="0" borderId="0" xfId="0" applyFont="1"/>
    <xf numFmtId="0" fontId="23" fillId="0" borderId="1" xfId="0" applyFont="1" applyBorder="1" applyAlignment="1">
      <alignment horizontal="center"/>
    </xf>
    <xf numFmtId="0" fontId="23" fillId="0" borderId="1" xfId="0" applyFont="1" applyBorder="1" applyAlignment="1">
      <alignment horizontal="center" wrapText="1"/>
    </xf>
    <xf numFmtId="0" fontId="23" fillId="0" borderId="0" xfId="0" applyFont="1" applyAlignment="1">
      <alignment horizontal="center" wrapText="1"/>
    </xf>
    <xf numFmtId="0" fontId="21" fillId="0" borderId="1" xfId="0" applyFont="1" applyBorder="1"/>
    <xf numFmtId="0" fontId="24" fillId="0" borderId="0" xfId="0" applyFont="1"/>
    <xf numFmtId="0" fontId="23" fillId="0" borderId="1" xfId="0" applyFont="1" applyBorder="1" applyAlignment="1">
      <alignment wrapText="1"/>
    </xf>
    <xf numFmtId="0" fontId="21" fillId="0" borderId="1" xfId="0" applyFont="1" applyFill="1" applyBorder="1"/>
    <xf numFmtId="0" fontId="25" fillId="0" borderId="0" xfId="0" applyFont="1"/>
    <xf numFmtId="0" fontId="23" fillId="0" borderId="1" xfId="0" applyFont="1" applyBorder="1"/>
    <xf numFmtId="0" fontId="21" fillId="0" borderId="1" xfId="0" applyFont="1" applyFill="1" applyBorder="1" applyAlignment="1">
      <alignment horizontal="right"/>
    </xf>
    <xf numFmtId="0" fontId="21" fillId="0" borderId="0" xfId="0" applyFont="1" applyFill="1" applyBorder="1"/>
    <xf numFmtId="0" fontId="28" fillId="0" borderId="0" xfId="0" applyFont="1"/>
    <xf numFmtId="0" fontId="29" fillId="0" borderId="0" xfId="0" applyFont="1" applyBorder="1"/>
    <xf numFmtId="0" fontId="29" fillId="0" borderId="0" xfId="0" applyFont="1" applyBorder="1" applyAlignment="1">
      <alignment horizontal="center"/>
    </xf>
    <xf numFmtId="0" fontId="30" fillId="0" borderId="0" xfId="0" applyFont="1"/>
    <xf numFmtId="0" fontId="21" fillId="0" borderId="1" xfId="0" applyFont="1" applyFill="1" applyBorder="1" applyAlignment="1">
      <alignment horizontal="center"/>
    </xf>
    <xf numFmtId="164" fontId="21" fillId="0" borderId="1" xfId="0" applyNumberFormat="1" applyFont="1" applyFill="1" applyBorder="1"/>
    <xf numFmtId="0" fontId="21" fillId="0" borderId="0" xfId="0" applyFont="1" applyFill="1"/>
    <xf numFmtId="0" fontId="28" fillId="0" borderId="0" xfId="0" applyFont="1" applyFill="1" applyAlignment="1">
      <alignment horizontal="left" vertical="top"/>
    </xf>
    <xf numFmtId="0" fontId="23" fillId="0" borderId="1" xfId="0" applyFont="1" applyFill="1" applyBorder="1" applyAlignment="1">
      <alignment horizontal="right"/>
    </xf>
    <xf numFmtId="0" fontId="23" fillId="0" borderId="1" xfId="0" applyFont="1" applyFill="1" applyBorder="1" applyAlignment="1">
      <alignment horizontal="center"/>
    </xf>
    <xf numFmtId="166" fontId="21" fillId="0" borderId="0" xfId="0" applyNumberFormat="1" applyFont="1" applyFill="1"/>
    <xf numFmtId="165" fontId="21" fillId="0" borderId="0" xfId="0" applyNumberFormat="1" applyFont="1" applyFill="1"/>
    <xf numFmtId="0" fontId="21" fillId="0" borderId="0" xfId="0" applyFont="1" applyFill="1" applyAlignment="1">
      <alignment vertical="top" wrapText="1"/>
    </xf>
    <xf numFmtId="0" fontId="21" fillId="0" borderId="0" xfId="0" applyFont="1" applyFill="1" applyAlignment="1">
      <alignment horizontal="left" vertical="top" wrapText="1"/>
    </xf>
    <xf numFmtId="0" fontId="21" fillId="0" borderId="1" xfId="0" applyFont="1" applyFill="1" applyBorder="1" applyAlignment="1">
      <alignment horizontal="left" vertical="top" wrapText="1"/>
    </xf>
    <xf numFmtId="14" fontId="21" fillId="0" borderId="0" xfId="0" applyNumberFormat="1" applyFont="1" applyFill="1" applyAlignment="1">
      <alignment horizontal="left" vertical="top" wrapText="1"/>
    </xf>
    <xf numFmtId="0" fontId="21" fillId="0" borderId="1" xfId="0" applyFont="1" applyFill="1" applyBorder="1" applyAlignment="1"/>
    <xf numFmtId="2" fontId="21" fillId="0" borderId="1" xfId="0" applyNumberFormat="1" applyFont="1" applyFill="1" applyBorder="1"/>
    <xf numFmtId="0" fontId="21" fillId="0" borderId="0" xfId="0" applyFont="1" applyFill="1" applyAlignment="1">
      <alignment wrapText="1"/>
    </xf>
    <xf numFmtId="0" fontId="21" fillId="0" borderId="0" xfId="0" applyFont="1" applyFill="1" applyAlignment="1"/>
    <xf numFmtId="0" fontId="27" fillId="0" borderId="0" xfId="0" applyFont="1" applyFill="1"/>
    <xf numFmtId="168" fontId="27" fillId="0" borderId="0" xfId="1" applyNumberFormat="1" applyFont="1" applyFill="1"/>
    <xf numFmtId="168" fontId="21" fillId="0" borderId="0" xfId="1" applyNumberFormat="1" applyFont="1" applyFill="1"/>
    <xf numFmtId="0" fontId="23" fillId="0" borderId="0" xfId="0" applyFont="1" applyFill="1"/>
    <xf numFmtId="0" fontId="23" fillId="0" borderId="2" xfId="0" applyFont="1" applyFill="1" applyBorder="1"/>
    <xf numFmtId="0" fontId="23" fillId="0" borderId="8" xfId="0" applyFont="1" applyFill="1" applyBorder="1" applyAlignment="1">
      <alignment wrapText="1"/>
    </xf>
    <xf numFmtId="0" fontId="23" fillId="0" borderId="1" xfId="0" applyFont="1" applyFill="1" applyBorder="1"/>
    <xf numFmtId="168" fontId="23" fillId="0" borderId="9" xfId="1" applyNumberFormat="1" applyFont="1" applyFill="1" applyBorder="1"/>
    <xf numFmtId="0" fontId="23" fillId="0" borderId="4" xfId="0" applyFont="1" applyFill="1" applyBorder="1" applyAlignment="1">
      <alignment wrapText="1"/>
    </xf>
    <xf numFmtId="168" fontId="23" fillId="0" borderId="1" xfId="1" applyNumberFormat="1" applyFont="1" applyFill="1" applyBorder="1"/>
    <xf numFmtId="0" fontId="21" fillId="0" borderId="2" xfId="0" applyFont="1" applyFill="1" applyBorder="1"/>
    <xf numFmtId="168" fontId="21" fillId="0" borderId="4" xfId="0" quotePrefix="1" applyNumberFormat="1" applyFont="1" applyFill="1" applyBorder="1"/>
    <xf numFmtId="168" fontId="21" fillId="0" borderId="0" xfId="0" applyNumberFormat="1" applyFont="1" applyFill="1" applyBorder="1"/>
    <xf numFmtId="168" fontId="21" fillId="0" borderId="0" xfId="1" applyNumberFormat="1" applyFont="1" applyFill="1" applyBorder="1"/>
    <xf numFmtId="0" fontId="21" fillId="0" borderId="1" xfId="0" applyFont="1" applyFill="1" applyBorder="1" applyAlignment="1">
      <alignment wrapText="1"/>
    </xf>
    <xf numFmtId="0" fontId="23" fillId="0" borderId="1" xfId="0" applyFont="1" applyBorder="1" applyAlignment="1">
      <alignment horizontal="center"/>
    </xf>
    <xf numFmtId="0" fontId="21" fillId="4" borderId="1" xfId="0" applyFont="1" applyFill="1" applyBorder="1"/>
    <xf numFmtId="10" fontId="21" fillId="4" borderId="8" xfId="0" applyNumberFormat="1" applyFont="1" applyFill="1" applyBorder="1"/>
    <xf numFmtId="10" fontId="21" fillId="4" borderId="1" xfId="0" applyNumberFormat="1" applyFont="1" applyFill="1" applyBorder="1"/>
    <xf numFmtId="10" fontId="21" fillId="4" borderId="9" xfId="1" applyNumberFormat="1" applyFont="1" applyFill="1" applyBorder="1"/>
    <xf numFmtId="166" fontId="21" fillId="4" borderId="1" xfId="0" applyNumberFormat="1" applyFont="1" applyFill="1" applyBorder="1" applyAlignment="1">
      <alignment horizontal="center"/>
    </xf>
    <xf numFmtId="165" fontId="21" fillId="4" borderId="1" xfId="0" applyNumberFormat="1" applyFont="1" applyFill="1" applyBorder="1"/>
    <xf numFmtId="9" fontId="21" fillId="4" borderId="1" xfId="1" applyFont="1" applyFill="1" applyBorder="1" applyAlignment="1">
      <alignment horizontal="center" vertical="top" wrapText="1"/>
    </xf>
    <xf numFmtId="0" fontId="26" fillId="0" borderId="1" xfId="0" applyFont="1" applyBorder="1"/>
    <xf numFmtId="9" fontId="21" fillId="2" borderId="1" xfId="1" applyFont="1" applyFill="1" applyBorder="1"/>
    <xf numFmtId="0" fontId="31" fillId="0" borderId="1" xfId="0" applyFont="1" applyBorder="1"/>
    <xf numFmtId="9" fontId="21" fillId="4" borderId="1" xfId="1" applyFont="1" applyFill="1" applyBorder="1"/>
    <xf numFmtId="0" fontId="23" fillId="0" borderId="1" xfId="0" applyFont="1" applyBorder="1" applyAlignment="1">
      <alignment horizontal="center" wrapText="1"/>
    </xf>
    <xf numFmtId="164" fontId="21" fillId="0" borderId="0" xfId="2" applyNumberFormat="1" applyFont="1"/>
    <xf numFmtId="0" fontId="21" fillId="0" borderId="1" xfId="0" applyFont="1" applyBorder="1" applyAlignment="1">
      <alignment horizontal="right"/>
    </xf>
    <xf numFmtId="164" fontId="21" fillId="4" borderId="1" xfId="2" applyNumberFormat="1" applyFont="1" applyFill="1" applyBorder="1"/>
    <xf numFmtId="0" fontId="21" fillId="4" borderId="9" xfId="0" applyFont="1" applyFill="1" applyBorder="1"/>
    <xf numFmtId="0" fontId="21" fillId="0" borderId="2" xfId="0" applyFont="1" applyBorder="1"/>
    <xf numFmtId="164" fontId="21" fillId="4" borderId="1" xfId="0" applyNumberFormat="1" applyFont="1" applyFill="1" applyBorder="1"/>
    <xf numFmtId="14" fontId="21" fillId="4" borderId="1" xfId="0" applyNumberFormat="1" applyFont="1" applyFill="1" applyBorder="1"/>
    <xf numFmtId="0" fontId="21" fillId="4" borderId="1" xfId="0" applyFont="1" applyFill="1" applyBorder="1" applyAlignment="1">
      <alignment horizontal="right"/>
    </xf>
    <xf numFmtId="0" fontId="21" fillId="0" borderId="0" xfId="0" applyFont="1" applyBorder="1"/>
    <xf numFmtId="0" fontId="21" fillId="0" borderId="0" xfId="0" applyFont="1" applyFill="1" applyBorder="1" applyAlignment="1">
      <alignment horizontal="left"/>
    </xf>
    <xf numFmtId="0" fontId="21" fillId="0" borderId="13" xfId="0" applyFont="1" applyBorder="1" applyAlignment="1"/>
    <xf numFmtId="0" fontId="25" fillId="0" borderId="0" xfId="0" applyFont="1" applyFill="1"/>
    <xf numFmtId="0" fontId="21" fillId="4" borderId="1" xfId="0" applyFont="1" applyFill="1" applyBorder="1" applyAlignment="1">
      <alignment vertical="center"/>
    </xf>
    <xf numFmtId="0" fontId="23" fillId="0" borderId="0" xfId="0" applyFont="1" applyAlignment="1">
      <alignment horizontal="center"/>
    </xf>
    <xf numFmtId="0" fontId="23" fillId="0" borderId="7" xfId="0" applyFont="1" applyBorder="1" applyAlignment="1">
      <alignment horizontal="center"/>
    </xf>
    <xf numFmtId="0" fontId="21" fillId="0" borderId="5" xfId="0" applyFont="1" applyBorder="1"/>
    <xf numFmtId="0" fontId="28" fillId="0" borderId="5" xfId="0" applyFont="1" applyBorder="1" applyAlignment="1">
      <alignment horizontal="center"/>
    </xf>
    <xf numFmtId="0" fontId="23" fillId="0" borderId="5" xfId="0" applyFont="1" applyBorder="1" applyAlignment="1">
      <alignment horizontal="center" wrapText="1"/>
    </xf>
    <xf numFmtId="0" fontId="32" fillId="0" borderId="0" xfId="0" applyFont="1"/>
    <xf numFmtId="0" fontId="21" fillId="3" borderId="1" xfId="0" applyFont="1" applyFill="1" applyBorder="1"/>
    <xf numFmtId="0" fontId="21" fillId="0" borderId="0" xfId="0" applyFont="1" applyAlignment="1">
      <alignment wrapText="1"/>
    </xf>
    <xf numFmtId="0" fontId="21" fillId="0" borderId="1" xfId="0" applyFont="1" applyBorder="1" applyAlignment="1"/>
    <xf numFmtId="164" fontId="21" fillId="3" borderId="1" xfId="0" applyNumberFormat="1" applyFont="1" applyFill="1" applyBorder="1"/>
    <xf numFmtId="0" fontId="21" fillId="0" borderId="0" xfId="0" applyFont="1" applyFill="1" applyBorder="1" applyAlignment="1">
      <alignment horizontal="center"/>
    </xf>
    <xf numFmtId="0" fontId="21" fillId="3" borderId="2" xfId="0" applyFont="1" applyFill="1" applyBorder="1"/>
    <xf numFmtId="0" fontId="23" fillId="0" borderId="1" xfId="0" applyFont="1" applyBorder="1" applyAlignment="1">
      <alignment horizontal="center" wrapText="1"/>
    </xf>
    <xf numFmtId="0" fontId="26" fillId="4" borderId="1" xfId="0" applyFont="1" applyFill="1" applyBorder="1" applyAlignment="1">
      <alignment vertical="center" wrapText="1"/>
    </xf>
    <xf numFmtId="0" fontId="21" fillId="4" borderId="1" xfId="0" applyFont="1" applyFill="1" applyBorder="1" applyAlignment="1">
      <alignment vertical="center" wrapText="1"/>
    </xf>
    <xf numFmtId="0" fontId="21" fillId="4" borderId="1" xfId="0" applyFont="1" applyFill="1" applyBorder="1" applyAlignment="1">
      <alignment horizontal="left" vertical="center" wrapText="1"/>
    </xf>
    <xf numFmtId="0" fontId="21" fillId="5" borderId="1" xfId="0" applyFont="1" applyFill="1" applyBorder="1" applyAlignment="1">
      <alignment vertical="center" wrapText="1"/>
    </xf>
    <xf numFmtId="164" fontId="23" fillId="0" borderId="1" xfId="2" applyNumberFormat="1" applyFont="1" applyBorder="1" applyAlignment="1">
      <alignment horizontal="center"/>
    </xf>
    <xf numFmtId="0" fontId="28" fillId="0" borderId="13" xfId="0" applyFont="1" applyFill="1" applyBorder="1" applyAlignment="1">
      <alignment horizontal="left" vertical="top"/>
    </xf>
    <xf numFmtId="0" fontId="23" fillId="0" borderId="1" xfId="0" applyFont="1" applyBorder="1" applyAlignment="1">
      <alignment horizontal="center" wrapText="1"/>
    </xf>
    <xf numFmtId="0" fontId="23" fillId="0" borderId="1" xfId="0" applyFont="1" applyBorder="1" applyAlignment="1"/>
    <xf numFmtId="0" fontId="23" fillId="0" borderId="1" xfId="0" applyFont="1" applyBorder="1" applyAlignment="1">
      <alignment horizontal="center" wrapText="1"/>
    </xf>
    <xf numFmtId="0" fontId="21" fillId="4" borderId="5" xfId="0" applyFont="1" applyFill="1" applyBorder="1"/>
    <xf numFmtId="0" fontId="21" fillId="0" borderId="20" xfId="0" applyFont="1" applyBorder="1" applyAlignment="1">
      <alignment horizontal="right"/>
    </xf>
    <xf numFmtId="0" fontId="25" fillId="0" borderId="0" xfId="0" applyFont="1" applyAlignment="1">
      <alignment vertical="center"/>
    </xf>
    <xf numFmtId="0" fontId="31" fillId="0" borderId="1" xfId="0" applyFont="1" applyBorder="1" applyAlignment="1">
      <alignment horizontal="center" wrapText="1"/>
    </xf>
    <xf numFmtId="0" fontId="26" fillId="0" borderId="2" xfId="0" applyFont="1" applyBorder="1"/>
    <xf numFmtId="0" fontId="21" fillId="4" borderId="2" xfId="0" applyFont="1" applyFill="1" applyBorder="1"/>
    <xf numFmtId="0" fontId="23" fillId="0" borderId="8" xfId="0" applyFont="1" applyBorder="1" applyAlignment="1">
      <alignment horizontal="center" wrapText="1"/>
    </xf>
    <xf numFmtId="0" fontId="21" fillId="4" borderId="8" xfId="0" applyFont="1" applyFill="1" applyBorder="1"/>
    <xf numFmtId="0" fontId="23" fillId="0" borderId="1" xfId="0" applyFont="1" applyBorder="1" applyAlignment="1">
      <alignment horizontal="center" wrapText="1"/>
    </xf>
    <xf numFmtId="0" fontId="23" fillId="0" borderId="35" xfId="0" applyFont="1" applyBorder="1" applyAlignment="1">
      <alignment horizontal="center"/>
    </xf>
    <xf numFmtId="0" fontId="21" fillId="0" borderId="7" xfId="0" applyFont="1" applyFill="1" applyBorder="1" applyAlignment="1">
      <alignment horizontal="right"/>
    </xf>
    <xf numFmtId="0" fontId="21" fillId="0" borderId="21" xfId="0" applyFont="1" applyBorder="1"/>
    <xf numFmtId="0" fontId="21" fillId="4" borderId="39" xfId="0" applyFont="1" applyFill="1" applyBorder="1"/>
    <xf numFmtId="0" fontId="21" fillId="4" borderId="38" xfId="0" applyFont="1" applyFill="1" applyBorder="1"/>
    <xf numFmtId="0" fontId="23" fillId="0" borderId="2" xfId="0" applyFont="1" applyBorder="1" applyAlignment="1">
      <alignment horizontal="center"/>
    </xf>
    <xf numFmtId="0" fontId="23" fillId="0" borderId="1" xfId="0" applyFont="1" applyBorder="1" applyAlignment="1">
      <alignment horizontal="center" wrapText="1"/>
    </xf>
    <xf numFmtId="0" fontId="21" fillId="0" borderId="0" xfId="0" applyFont="1" applyAlignment="1"/>
    <xf numFmtId="0" fontId="21" fillId="0" borderId="1" xfId="0" applyFont="1" applyBorder="1" applyAlignment="1">
      <alignment horizontal="center"/>
    </xf>
    <xf numFmtId="0" fontId="33" fillId="0" borderId="0" xfId="0" applyFont="1"/>
    <xf numFmtId="0" fontId="21" fillId="0" borderId="18" xfId="0" applyFont="1" applyFill="1" applyBorder="1" applyAlignment="1">
      <alignment horizontal="right"/>
    </xf>
    <xf numFmtId="0" fontId="31" fillId="0" borderId="2" xfId="0" applyFont="1" applyBorder="1" applyAlignment="1">
      <alignment horizontal="center" wrapText="1"/>
    </xf>
    <xf numFmtId="0" fontId="21" fillId="4" borderId="43" xfId="0" applyFont="1" applyFill="1" applyBorder="1"/>
    <xf numFmtId="0" fontId="21" fillId="4" borderId="40" xfId="0" applyFont="1" applyFill="1" applyBorder="1"/>
    <xf numFmtId="0" fontId="21" fillId="0" borderId="38" xfId="0" applyFont="1" applyBorder="1"/>
    <xf numFmtId="0" fontId="21" fillId="0" borderId="15" xfId="0" applyFont="1" applyBorder="1"/>
    <xf numFmtId="0" fontId="30" fillId="0" borderId="0" xfId="0" applyFont="1" applyAlignment="1">
      <alignment wrapText="1"/>
    </xf>
    <xf numFmtId="0" fontId="21" fillId="0" borderId="0" xfId="0" applyFont="1" applyBorder="1" applyAlignment="1">
      <alignment horizontal="center"/>
    </xf>
    <xf numFmtId="0" fontId="30" fillId="0" borderId="0" xfId="0" applyFont="1" applyBorder="1" applyAlignment="1">
      <alignment horizontal="left"/>
    </xf>
    <xf numFmtId="0" fontId="21" fillId="4" borderId="1" xfId="1" applyNumberFormat="1" applyFont="1" applyFill="1" applyBorder="1"/>
    <xf numFmtId="0" fontId="30" fillId="0" borderId="0" xfId="0" applyFont="1" applyFill="1" applyBorder="1"/>
    <xf numFmtId="0" fontId="23" fillId="0" borderId="1" xfId="0" applyFont="1" applyBorder="1" applyAlignment="1">
      <alignment horizontal="center" wrapText="1"/>
    </xf>
    <xf numFmtId="0" fontId="23" fillId="0" borderId="4" xfId="0" applyFont="1" applyBorder="1" applyAlignment="1">
      <alignment horizontal="center" wrapText="1"/>
    </xf>
    <xf numFmtId="10" fontId="21" fillId="4" borderId="1" xfId="1" applyNumberFormat="1" applyFont="1" applyFill="1" applyBorder="1"/>
    <xf numFmtId="10" fontId="21" fillId="2" borderId="1" xfId="1" applyNumberFormat="1" applyFont="1" applyFill="1" applyBorder="1"/>
    <xf numFmtId="0" fontId="34" fillId="0" borderId="0" xfId="0" applyFont="1"/>
    <xf numFmtId="0" fontId="35" fillId="0" borderId="0" xfId="0" applyFont="1"/>
    <xf numFmtId="10" fontId="21" fillId="0" borderId="0" xfId="1" applyNumberFormat="1" applyFont="1"/>
    <xf numFmtId="0" fontId="31" fillId="0" borderId="3" xfId="0" applyFont="1" applyBorder="1" applyAlignment="1">
      <alignment horizontal="center" wrapText="1"/>
    </xf>
    <xf numFmtId="0" fontId="30" fillId="0" borderId="0" xfId="0" applyFont="1" applyAlignment="1">
      <alignment horizontal="left"/>
    </xf>
    <xf numFmtId="0" fontId="34" fillId="0" borderId="0" xfId="0" applyFont="1" applyAlignment="1"/>
    <xf numFmtId="0" fontId="23" fillId="0" borderId="1" xfId="0" applyFont="1" applyBorder="1" applyAlignment="1">
      <alignment horizontal="center" wrapText="1"/>
    </xf>
    <xf numFmtId="0" fontId="23" fillId="0" borderId="2" xfId="0" applyFont="1" applyBorder="1" applyAlignment="1">
      <alignment horizontal="center" wrapText="1"/>
    </xf>
    <xf numFmtId="0" fontId="23" fillId="0" borderId="4" xfId="0" applyFont="1" applyBorder="1" applyAlignment="1">
      <alignment horizontal="center" wrapText="1"/>
    </xf>
    <xf numFmtId="0" fontId="21" fillId="4" borderId="21" xfId="0" applyFont="1" applyFill="1" applyBorder="1"/>
    <xf numFmtId="0" fontId="21" fillId="0" borderId="20" xfId="0" applyFont="1" applyFill="1" applyBorder="1" applyAlignment="1">
      <alignment horizontal="right"/>
    </xf>
    <xf numFmtId="0" fontId="21" fillId="0" borderId="0" xfId="0" applyFont="1" applyFill="1" applyBorder="1" applyAlignment="1">
      <alignment horizontal="right"/>
    </xf>
    <xf numFmtId="1" fontId="21" fillId="0" borderId="0" xfId="0" applyNumberFormat="1" applyFont="1" applyFill="1" applyBorder="1"/>
    <xf numFmtId="9" fontId="21" fillId="0" borderId="0" xfId="1" applyFont="1" applyFill="1" applyBorder="1"/>
    <xf numFmtId="164" fontId="21" fillId="3" borderId="1" xfId="2" applyNumberFormat="1" applyFont="1" applyFill="1" applyBorder="1" applyAlignment="1">
      <alignment horizontal="center"/>
    </xf>
    <xf numFmtId="0" fontId="21" fillId="0" borderId="0" xfId="0" applyFont="1" applyFill="1" applyAlignment="1">
      <alignment horizontal="center"/>
    </xf>
    <xf numFmtId="0" fontId="23" fillId="3" borderId="1" xfId="0" applyFont="1" applyFill="1" applyBorder="1" applyAlignment="1">
      <alignment horizontal="center"/>
    </xf>
    <xf numFmtId="0" fontId="21" fillId="0" borderId="0" xfId="0" applyFont="1" applyAlignment="1">
      <alignment horizontal="center"/>
    </xf>
    <xf numFmtId="0" fontId="21" fillId="0" borderId="1" xfId="0" applyFont="1" applyFill="1" applyBorder="1" applyAlignment="1">
      <alignment horizontal="center"/>
    </xf>
    <xf numFmtId="0" fontId="23" fillId="0" borderId="1" xfId="0" applyFont="1" applyBorder="1" applyAlignment="1">
      <alignment horizontal="center" wrapText="1"/>
    </xf>
    <xf numFmtId="0" fontId="23" fillId="0" borderId="2" xfId="0" applyFont="1" applyBorder="1" applyAlignment="1">
      <alignment horizontal="center" wrapText="1"/>
    </xf>
    <xf numFmtId="0" fontId="31" fillId="0" borderId="1" xfId="0" applyFont="1" applyBorder="1" applyAlignment="1">
      <alignment horizontal="center"/>
    </xf>
    <xf numFmtId="0" fontId="23" fillId="0" borderId="9" xfId="0" applyFont="1" applyBorder="1" applyAlignment="1">
      <alignment horizontal="center" wrapText="1"/>
    </xf>
    <xf numFmtId="0" fontId="23" fillId="0" borderId="1" xfId="0" applyFont="1" applyBorder="1" applyAlignment="1">
      <alignment horizontal="center"/>
    </xf>
    <xf numFmtId="0" fontId="30" fillId="0" borderId="0" xfId="0" applyFont="1" applyBorder="1" applyAlignment="1">
      <alignment vertical="center" wrapText="1"/>
    </xf>
    <xf numFmtId="0" fontId="26" fillId="4" borderId="1" xfId="0" applyFont="1" applyFill="1" applyBorder="1"/>
    <xf numFmtId="0" fontId="23" fillId="0" borderId="9" xfId="0" applyFont="1" applyBorder="1" applyAlignment="1">
      <alignment horizontal="center"/>
    </xf>
    <xf numFmtId="0" fontId="26" fillId="4" borderId="9" xfId="0" applyFont="1" applyFill="1" applyBorder="1"/>
    <xf numFmtId="0" fontId="33" fillId="0" borderId="0" xfId="0" applyFont="1" applyFill="1" applyBorder="1" applyAlignment="1">
      <alignment horizontal="left"/>
    </xf>
    <xf numFmtId="0" fontId="31" fillId="3" borderId="1" xfId="0" applyFont="1" applyFill="1" applyBorder="1" applyAlignment="1">
      <alignment horizontal="center"/>
    </xf>
    <xf numFmtId="0" fontId="21" fillId="2" borderId="1" xfId="0" applyFont="1" applyFill="1" applyBorder="1" applyAlignment="1">
      <alignment horizontal="center"/>
    </xf>
    <xf numFmtId="9" fontId="21" fillId="3" borderId="1" xfId="1" applyFont="1" applyFill="1" applyBorder="1" applyAlignment="1">
      <alignment horizontal="center"/>
    </xf>
    <xf numFmtId="0" fontId="21" fillId="0" borderId="1" xfId="0" applyFont="1" applyFill="1" applyBorder="1" applyAlignment="1">
      <alignment horizontal="right" wrapText="1"/>
    </xf>
    <xf numFmtId="166" fontId="21" fillId="3" borderId="1" xfId="2" applyNumberFormat="1" applyFont="1" applyFill="1" applyBorder="1" applyAlignment="1">
      <alignment horizontal="center"/>
    </xf>
    <xf numFmtId="0" fontId="37" fillId="0" borderId="0" xfId="0" applyFont="1"/>
    <xf numFmtId="0" fontId="21" fillId="0" borderId="1" xfId="0" applyFont="1" applyFill="1" applyBorder="1" applyAlignment="1">
      <alignment horizontal="left" vertical="center"/>
    </xf>
    <xf numFmtId="0" fontId="21" fillId="0" borderId="1" xfId="0" applyFont="1" applyFill="1" applyBorder="1" applyAlignment="1">
      <alignment vertical="center"/>
    </xf>
    <xf numFmtId="0" fontId="21" fillId="0" borderId="0" xfId="0" applyFont="1" applyFill="1" applyBorder="1" applyAlignment="1">
      <alignment vertical="center"/>
    </xf>
    <xf numFmtId="0" fontId="26" fillId="0" borderId="1" xfId="0" applyFont="1" applyFill="1" applyBorder="1" applyAlignment="1">
      <alignment vertical="center"/>
    </xf>
    <xf numFmtId="0" fontId="23" fillId="0" borderId="0" xfId="0" applyFont="1" applyFill="1" applyBorder="1" applyAlignment="1">
      <alignment horizontal="left"/>
    </xf>
    <xf numFmtId="9" fontId="21" fillId="3" borderId="8" xfId="1" applyFont="1" applyFill="1" applyBorder="1" applyAlignment="1">
      <alignment horizontal="center"/>
    </xf>
    <xf numFmtId="9" fontId="21" fillId="6" borderId="8" xfId="1" applyFont="1" applyFill="1" applyBorder="1" applyAlignment="1">
      <alignment horizontal="center"/>
    </xf>
    <xf numFmtId="9" fontId="21" fillId="6" borderId="1" xfId="1" applyFont="1" applyFill="1" applyBorder="1" applyAlignment="1">
      <alignment horizontal="center"/>
    </xf>
    <xf numFmtId="0" fontId="21" fillId="0" borderId="1" xfId="0" applyFont="1" applyFill="1" applyBorder="1" applyAlignment="1">
      <alignment horizontal="center"/>
    </xf>
    <xf numFmtId="0" fontId="23" fillId="0" borderId="1" xfId="0" applyFont="1" applyFill="1" applyBorder="1" applyAlignment="1">
      <alignment horizontal="center"/>
    </xf>
    <xf numFmtId="0" fontId="23" fillId="0" borderId="1" xfId="0" applyFont="1" applyBorder="1" applyAlignment="1">
      <alignment horizontal="center" wrapText="1"/>
    </xf>
    <xf numFmtId="0" fontId="23" fillId="0" borderId="2" xfId="0" applyFont="1" applyBorder="1" applyAlignment="1">
      <alignment horizontal="center" wrapText="1"/>
    </xf>
    <xf numFmtId="0" fontId="23" fillId="0" borderId="4" xfId="0" applyFont="1" applyBorder="1" applyAlignment="1">
      <alignment horizontal="center" wrapText="1"/>
    </xf>
    <xf numFmtId="0" fontId="23" fillId="0" borderId="35" xfId="0" applyFont="1" applyBorder="1" applyAlignment="1">
      <alignment horizontal="center"/>
    </xf>
    <xf numFmtId="0" fontId="31" fillId="0" borderId="1" xfId="0" applyFont="1" applyBorder="1" applyAlignment="1">
      <alignment horizontal="center"/>
    </xf>
    <xf numFmtId="0" fontId="23" fillId="0" borderId="1" xfId="0" applyFont="1" applyBorder="1" applyAlignment="1">
      <alignment horizontal="center"/>
    </xf>
    <xf numFmtId="0" fontId="23" fillId="0" borderId="9" xfId="0" applyFont="1" applyBorder="1" applyAlignment="1">
      <alignment horizontal="center" wrapText="1"/>
    </xf>
    <xf numFmtId="0" fontId="28" fillId="0" borderId="1" xfId="0" applyFont="1" applyFill="1" applyBorder="1" applyAlignment="1">
      <alignment horizontal="center" vertical="top"/>
    </xf>
    <xf numFmtId="0" fontId="23" fillId="0" borderId="8" xfId="0" applyFont="1" applyBorder="1" applyAlignment="1">
      <alignment horizontal="center" wrapText="1"/>
    </xf>
    <xf numFmtId="0" fontId="23" fillId="0" borderId="48" xfId="0" applyFont="1" applyBorder="1" applyAlignment="1">
      <alignment horizontal="center" wrapText="1"/>
    </xf>
    <xf numFmtId="0" fontId="23" fillId="0" borderId="49" xfId="0" applyFont="1" applyBorder="1" applyAlignment="1">
      <alignment horizontal="center" wrapText="1"/>
    </xf>
    <xf numFmtId="0" fontId="23" fillId="0" borderId="50" xfId="0" applyFont="1" applyBorder="1" applyAlignment="1">
      <alignment horizontal="center" wrapText="1"/>
    </xf>
    <xf numFmtId="1" fontId="21" fillId="4" borderId="29" xfId="0" applyNumberFormat="1" applyFont="1" applyFill="1" applyBorder="1"/>
    <xf numFmtId="1" fontId="21" fillId="4" borderId="30" xfId="0" applyNumberFormat="1" applyFont="1" applyFill="1" applyBorder="1"/>
    <xf numFmtId="0" fontId="23" fillId="0" borderId="0" xfId="0" applyFont="1" applyBorder="1" applyAlignment="1">
      <alignment wrapText="1"/>
    </xf>
    <xf numFmtId="0" fontId="23" fillId="0" borderId="1" xfId="0" applyFont="1" applyFill="1" applyBorder="1" applyAlignment="1">
      <alignment horizontal="center" wrapText="1"/>
    </xf>
    <xf numFmtId="0" fontId="21" fillId="0" borderId="1" xfId="0" applyFont="1" applyFill="1" applyBorder="1" applyAlignment="1">
      <alignment horizontal="center"/>
    </xf>
    <xf numFmtId="0" fontId="23" fillId="0" borderId="1" xfId="0" applyFont="1" applyFill="1" applyBorder="1" applyAlignment="1">
      <alignment horizontal="center"/>
    </xf>
    <xf numFmtId="0" fontId="23" fillId="0" borderId="1" xfId="0" applyFont="1" applyBorder="1" applyAlignment="1">
      <alignment horizontal="center" wrapText="1"/>
    </xf>
    <xf numFmtId="0" fontId="21" fillId="3" borderId="1" xfId="0" applyFont="1" applyFill="1" applyBorder="1" applyAlignment="1">
      <alignment horizontal="right"/>
    </xf>
    <xf numFmtId="0" fontId="23" fillId="0" borderId="8" xfId="0" applyFont="1" applyBorder="1" applyAlignment="1">
      <alignment horizontal="center" wrapText="1"/>
    </xf>
    <xf numFmtId="0" fontId="23" fillId="0" borderId="0" xfId="0" applyFont="1" applyBorder="1" applyAlignment="1">
      <alignment horizontal="center" wrapText="1"/>
    </xf>
    <xf numFmtId="0" fontId="23" fillId="0" borderId="58" xfId="0" applyFont="1" applyBorder="1" applyAlignment="1">
      <alignment horizontal="center" wrapText="1"/>
    </xf>
    <xf numFmtId="0" fontId="23" fillId="0" borderId="59" xfId="0" applyFont="1" applyBorder="1" applyAlignment="1">
      <alignment horizontal="center" wrapText="1"/>
    </xf>
    <xf numFmtId="0" fontId="23" fillId="0" borderId="29" xfId="0" applyFont="1" applyBorder="1" applyAlignment="1">
      <alignment horizontal="center" wrapText="1"/>
    </xf>
    <xf numFmtId="0" fontId="31" fillId="0" borderId="57" xfId="0" applyFont="1" applyBorder="1" applyAlignment="1">
      <alignment horizontal="center" wrapText="1"/>
    </xf>
    <xf numFmtId="1" fontId="21" fillId="4" borderId="1" xfId="0" applyNumberFormat="1" applyFont="1" applyFill="1" applyBorder="1"/>
    <xf numFmtId="1" fontId="21" fillId="4" borderId="50" xfId="0" applyNumberFormat="1" applyFont="1" applyFill="1" applyBorder="1"/>
    <xf numFmtId="1" fontId="21" fillId="4" borderId="5" xfId="0" applyNumberFormat="1" applyFont="1" applyFill="1" applyBorder="1"/>
    <xf numFmtId="1" fontId="21" fillId="0" borderId="60" xfId="0" applyNumberFormat="1" applyFont="1" applyFill="1" applyBorder="1"/>
    <xf numFmtId="0" fontId="31" fillId="0" borderId="50" xfId="0" applyFont="1" applyBorder="1" applyAlignment="1">
      <alignment horizontal="center" wrapText="1"/>
    </xf>
    <xf numFmtId="0" fontId="23" fillId="0" borderId="66" xfId="0" applyFont="1" applyBorder="1" applyAlignment="1">
      <alignment horizontal="center" wrapText="1"/>
    </xf>
    <xf numFmtId="0" fontId="37" fillId="0" borderId="0" xfId="0" applyFont="1" applyFill="1" applyBorder="1" applyAlignment="1">
      <alignment horizontal="left" vertical="center"/>
    </xf>
    <xf numFmtId="0" fontId="37" fillId="0" borderId="0" xfId="0" applyFont="1" applyFill="1" applyBorder="1" applyAlignment="1">
      <alignment horizontal="right" vertical="center"/>
    </xf>
    <xf numFmtId="0" fontId="37" fillId="0" borderId="13" xfId="0" applyFont="1" applyFill="1" applyBorder="1" applyAlignment="1">
      <alignment horizontal="left"/>
    </xf>
    <xf numFmtId="0" fontId="37" fillId="0" borderId="13" xfId="0" applyFont="1" applyBorder="1"/>
    <xf numFmtId="0" fontId="21" fillId="0" borderId="26" xfId="0" applyFont="1" applyFill="1" applyBorder="1" applyAlignment="1">
      <alignment horizontal="center"/>
    </xf>
    <xf numFmtId="0" fontId="25" fillId="0" borderId="0" xfId="0" applyFont="1" applyFill="1" applyBorder="1"/>
    <xf numFmtId="0" fontId="37" fillId="0" borderId="0" xfId="0" applyFont="1" applyFill="1" applyBorder="1"/>
    <xf numFmtId="0" fontId="40" fillId="0" borderId="0" xfId="0" applyFont="1" applyFill="1" applyBorder="1" applyAlignment="1">
      <alignment horizontal="left"/>
    </xf>
    <xf numFmtId="0" fontId="37" fillId="0" borderId="18" xfId="0" applyFont="1" applyFill="1" applyBorder="1" applyAlignment="1">
      <alignment horizontal="left"/>
    </xf>
    <xf numFmtId="0" fontId="37" fillId="0" borderId="13" xfId="0" applyFont="1" applyFill="1" applyBorder="1" applyAlignment="1">
      <alignment horizontal="right"/>
    </xf>
    <xf numFmtId="0" fontId="37" fillId="0" borderId="19" xfId="0" applyFont="1" applyBorder="1"/>
    <xf numFmtId="0" fontId="35" fillId="0" borderId="0" xfId="0" applyFont="1" applyFill="1" applyBorder="1" applyAlignment="1">
      <alignment horizontal="left"/>
    </xf>
    <xf numFmtId="0" fontId="41" fillId="0" borderId="0" xfId="0" applyFont="1" applyFill="1" applyBorder="1" applyAlignment="1">
      <alignment horizontal="left"/>
    </xf>
    <xf numFmtId="168" fontId="21" fillId="3" borderId="1" xfId="1" applyNumberFormat="1" applyFont="1" applyFill="1" applyBorder="1"/>
    <xf numFmtId="0" fontId="21" fillId="0" borderId="0" xfId="0" applyFont="1" applyFill="1" applyBorder="1" applyAlignment="1">
      <alignment horizontal="left" vertical="center"/>
    </xf>
    <xf numFmtId="9" fontId="21" fillId="0" borderId="0" xfId="1" applyFont="1" applyFill="1" applyBorder="1" applyAlignment="1">
      <alignment horizontal="center"/>
    </xf>
    <xf numFmtId="0" fontId="30" fillId="0" borderId="0" xfId="0" applyFont="1" applyFill="1" applyBorder="1" applyAlignment="1">
      <alignment horizontal="left" vertical="center"/>
    </xf>
    <xf numFmtId="0" fontId="33" fillId="0" borderId="0" xfId="0" applyFont="1" applyFill="1" applyBorder="1" applyAlignment="1">
      <alignment horizontal="left" vertical="center"/>
    </xf>
    <xf numFmtId="0" fontId="23" fillId="0" borderId="1" xfId="0" applyFont="1" applyFill="1" applyBorder="1" applyAlignment="1">
      <alignment horizontal="center" wrapText="1"/>
    </xf>
    <xf numFmtId="0" fontId="21" fillId="0" borderId="0" xfId="0" applyFont="1" applyFill="1" applyAlignment="1">
      <alignment horizontal="left" vertical="top" wrapText="1"/>
    </xf>
    <xf numFmtId="0" fontId="23" fillId="0" borderId="1" xfId="0" applyFont="1" applyFill="1" applyBorder="1" applyAlignment="1">
      <alignment horizontal="center"/>
    </xf>
    <xf numFmtId="0" fontId="21" fillId="0" borderId="0" xfId="0" applyFont="1" applyFill="1" applyBorder="1" applyAlignment="1"/>
    <xf numFmtId="0" fontId="30" fillId="0" borderId="7" xfId="0" applyFont="1" applyFill="1" applyBorder="1"/>
    <xf numFmtId="9" fontId="21" fillId="6" borderId="5" xfId="1" applyFont="1" applyFill="1" applyBorder="1" applyAlignment="1">
      <alignment horizontal="center"/>
    </xf>
    <xf numFmtId="0" fontId="21" fillId="3" borderId="5" xfId="0" applyFont="1" applyFill="1" applyBorder="1" applyAlignment="1">
      <alignment horizontal="right"/>
    </xf>
    <xf numFmtId="0" fontId="30" fillId="0" borderId="7" xfId="0" applyFont="1" applyFill="1" applyBorder="1" applyAlignment="1">
      <alignment horizontal="right" wrapText="1"/>
    </xf>
    <xf numFmtId="0" fontId="21" fillId="0" borderId="5" xfId="0" applyFont="1" applyFill="1" applyBorder="1" applyAlignment="1">
      <alignment horizontal="right"/>
    </xf>
    <xf numFmtId="0" fontId="21" fillId="0" borderId="13" xfId="0" applyFont="1" applyFill="1" applyBorder="1" applyAlignment="1">
      <alignment horizontal="center"/>
    </xf>
    <xf numFmtId="0" fontId="23" fillId="0" borderId="26" xfId="0" applyFont="1" applyFill="1" applyBorder="1" applyAlignment="1">
      <alignment horizontal="center" wrapText="1"/>
    </xf>
    <xf numFmtId="0" fontId="23" fillId="0" borderId="0" xfId="0" applyFont="1" applyFill="1" applyBorder="1" applyAlignment="1">
      <alignment horizontal="center" wrapText="1"/>
    </xf>
    <xf numFmtId="0" fontId="21" fillId="0" borderId="13" xfId="0" applyFont="1" applyFill="1" applyBorder="1" applyAlignment="1">
      <alignment horizontal="left"/>
    </xf>
    <xf numFmtId="0" fontId="23" fillId="0" borderId="26" xfId="0" applyFont="1" applyFill="1" applyBorder="1" applyAlignment="1">
      <alignment vertical="center"/>
    </xf>
    <xf numFmtId="0" fontId="23" fillId="0" borderId="0" xfId="0" applyFont="1" applyFill="1" applyBorder="1" applyAlignment="1">
      <alignment vertical="center"/>
    </xf>
    <xf numFmtId="0" fontId="23" fillId="0" borderId="1" xfId="0" applyFont="1" applyFill="1" applyBorder="1" applyAlignment="1">
      <alignment wrapText="1"/>
    </xf>
    <xf numFmtId="0" fontId="21" fillId="3" borderId="1" xfId="0" applyNumberFormat="1" applyFont="1" applyFill="1" applyBorder="1"/>
    <xf numFmtId="0" fontId="26" fillId="0" borderId="1" xfId="0" applyFont="1" applyFill="1" applyBorder="1"/>
    <xf numFmtId="0" fontId="21" fillId="0" borderId="0" xfId="0" applyFont="1" applyFill="1" applyAlignment="1">
      <alignment horizontal="left" vertical="top" wrapText="1"/>
    </xf>
    <xf numFmtId="0" fontId="21" fillId="0" borderId="2" xfId="0" applyFont="1" applyFill="1" applyBorder="1" applyAlignment="1">
      <alignment horizontal="left"/>
    </xf>
    <xf numFmtId="0" fontId="21" fillId="3" borderId="1" xfId="0" applyFont="1" applyFill="1" applyBorder="1" applyAlignment="1">
      <alignment horizontal="right"/>
    </xf>
    <xf numFmtId="0" fontId="23" fillId="0" borderId="0" xfId="0" applyFont="1" applyFill="1" applyBorder="1" applyAlignment="1">
      <alignment horizontal="left" vertical="center"/>
    </xf>
    <xf numFmtId="0" fontId="30" fillId="0" borderId="0" xfId="0" applyFont="1" applyBorder="1"/>
    <xf numFmtId="164" fontId="21" fillId="0" borderId="0" xfId="0" applyNumberFormat="1" applyFont="1"/>
    <xf numFmtId="0" fontId="23" fillId="0" borderId="1" xfId="0" applyFont="1" applyFill="1" applyBorder="1" applyAlignment="1"/>
    <xf numFmtId="0" fontId="23" fillId="0" borderId="1" xfId="0" applyFont="1" applyBorder="1" applyAlignment="1">
      <alignment horizontal="center"/>
    </xf>
    <xf numFmtId="0" fontId="21" fillId="0" borderId="0" xfId="0" applyFont="1" applyAlignment="1">
      <alignment vertical="center"/>
    </xf>
    <xf numFmtId="0" fontId="21" fillId="3" borderId="1" xfId="0" applyFont="1" applyFill="1" applyBorder="1" applyAlignment="1">
      <alignment vertical="center"/>
    </xf>
    <xf numFmtId="164" fontId="21" fillId="3" borderId="1" xfId="0" applyNumberFormat="1" applyFont="1" applyFill="1" applyBorder="1" applyAlignment="1">
      <alignment vertical="center"/>
    </xf>
    <xf numFmtId="0" fontId="21" fillId="0" borderId="0" xfId="0" applyFont="1" applyFill="1" applyBorder="1" applyAlignment="1">
      <alignment wrapText="1"/>
    </xf>
    <xf numFmtId="0" fontId="30" fillId="0" borderId="0" xfId="0" applyFont="1" applyFill="1" applyBorder="1" applyAlignment="1">
      <alignment horizontal="left" vertical="center" wrapText="1"/>
    </xf>
    <xf numFmtId="0" fontId="30" fillId="0" borderId="0" xfId="0" applyFont="1" applyFill="1" applyBorder="1" applyAlignment="1">
      <alignment wrapText="1"/>
    </xf>
    <xf numFmtId="164" fontId="30" fillId="0" borderId="0" xfId="0" applyNumberFormat="1" applyFont="1" applyBorder="1"/>
    <xf numFmtId="0" fontId="33" fillId="0" borderId="0" xfId="0" applyFont="1" applyFill="1" applyBorder="1" applyAlignment="1">
      <alignment horizontal="left" vertical="center" wrapText="1"/>
    </xf>
    <xf numFmtId="9" fontId="30" fillId="0" borderId="0" xfId="1" applyFont="1" applyFill="1" applyBorder="1" applyAlignment="1">
      <alignment horizontal="center"/>
    </xf>
    <xf numFmtId="0" fontId="21" fillId="0" borderId="0" xfId="0" applyFont="1" applyFill="1" applyBorder="1" applyAlignment="1">
      <alignment horizontal="left" vertical="top" wrapText="1"/>
    </xf>
    <xf numFmtId="9" fontId="21" fillId="0" borderId="0" xfId="1" applyFont="1" applyFill="1" applyBorder="1" applyAlignment="1">
      <alignment horizontal="center" vertical="top" wrapText="1"/>
    </xf>
    <xf numFmtId="0" fontId="21" fillId="4" borderId="1" xfId="1" applyNumberFormat="1" applyFont="1" applyFill="1" applyBorder="1" applyAlignment="1">
      <alignment horizontal="center" vertical="top" wrapText="1"/>
    </xf>
    <xf numFmtId="0" fontId="31" fillId="0" borderId="1" xfId="0" applyFont="1" applyFill="1" applyBorder="1" applyAlignment="1">
      <alignment horizontal="center"/>
    </xf>
    <xf numFmtId="1" fontId="21" fillId="3" borderId="1" xfId="0" applyNumberFormat="1" applyFont="1" applyFill="1" applyBorder="1"/>
    <xf numFmtId="0" fontId="26" fillId="0" borderId="0" xfId="0" applyFont="1"/>
    <xf numFmtId="0" fontId="26" fillId="3" borderId="1" xfId="0" applyFont="1" applyFill="1" applyBorder="1"/>
    <xf numFmtId="0" fontId="26" fillId="0" borderId="0" xfId="0" applyFont="1" applyFill="1"/>
    <xf numFmtId="165" fontId="26" fillId="3" borderId="1" xfId="0" applyNumberFormat="1" applyFont="1" applyFill="1" applyBorder="1"/>
    <xf numFmtId="164" fontId="26" fillId="3" borderId="1" xfId="0" applyNumberFormat="1" applyFont="1" applyFill="1" applyBorder="1"/>
    <xf numFmtId="168" fontId="26" fillId="3" borderId="1" xfId="1" applyNumberFormat="1" applyFont="1" applyFill="1" applyBorder="1"/>
    <xf numFmtId="0" fontId="31" fillId="0" borderId="1" xfId="0" applyFont="1" applyFill="1" applyBorder="1" applyAlignment="1">
      <alignment horizontal="center" wrapText="1"/>
    </xf>
    <xf numFmtId="0" fontId="31" fillId="0" borderId="3" xfId="0" applyFont="1" applyFill="1" applyBorder="1" applyAlignment="1">
      <alignment horizontal="center" wrapText="1"/>
    </xf>
    <xf numFmtId="1" fontId="26" fillId="3" borderId="1" xfId="0" applyNumberFormat="1" applyFont="1" applyFill="1" applyBorder="1" applyAlignment="1">
      <alignment horizontal="center" wrapText="1"/>
    </xf>
    <xf numFmtId="1" fontId="26" fillId="3" borderId="5" xfId="0" applyNumberFormat="1" applyFont="1" applyFill="1" applyBorder="1" applyAlignment="1">
      <alignment horizontal="center" wrapText="1"/>
    </xf>
    <xf numFmtId="1" fontId="26" fillId="3" borderId="2" xfId="0" applyNumberFormat="1" applyFont="1" applyFill="1" applyBorder="1" applyAlignment="1">
      <alignment horizontal="center" wrapText="1"/>
    </xf>
    <xf numFmtId="1" fontId="26" fillId="3" borderId="21" xfId="0" applyNumberFormat="1" applyFont="1" applyFill="1" applyBorder="1" applyAlignment="1">
      <alignment horizontal="center" wrapText="1"/>
    </xf>
    <xf numFmtId="1" fontId="26" fillId="3" borderId="8" xfId="0" applyNumberFormat="1" applyFont="1" applyFill="1" applyBorder="1" applyAlignment="1">
      <alignment horizontal="center" wrapText="1"/>
    </xf>
    <xf numFmtId="1" fontId="26" fillId="3" borderId="39" xfId="0" applyNumberFormat="1" applyFont="1" applyFill="1" applyBorder="1" applyAlignment="1">
      <alignment horizontal="center" wrapText="1"/>
    </xf>
    <xf numFmtId="0" fontId="31" fillId="0" borderId="2" xfId="0" applyFont="1" applyFill="1" applyBorder="1" applyAlignment="1">
      <alignment horizontal="center" wrapText="1"/>
    </xf>
    <xf numFmtId="0" fontId="31" fillId="0" borderId="8" xfId="0" applyFont="1" applyFill="1" applyBorder="1" applyAlignment="1">
      <alignment horizontal="center" wrapText="1"/>
    </xf>
    <xf numFmtId="1" fontId="21" fillId="2" borderId="1" xfId="0" applyNumberFormat="1" applyFont="1" applyFill="1" applyBorder="1"/>
    <xf numFmtId="0" fontId="31" fillId="0" borderId="1" xfId="0" applyFont="1" applyFill="1" applyBorder="1"/>
    <xf numFmtId="0" fontId="23" fillId="0" borderId="1" xfId="0" applyFont="1" applyBorder="1" applyAlignment="1">
      <alignment horizontal="center"/>
    </xf>
    <xf numFmtId="0" fontId="31" fillId="0" borderId="5" xfId="0" applyFont="1" applyBorder="1" applyAlignment="1">
      <alignment horizontal="center"/>
    </xf>
    <xf numFmtId="0" fontId="43" fillId="0" borderId="0" xfId="0" applyFont="1" applyAlignment="1">
      <alignment horizontal="center"/>
    </xf>
    <xf numFmtId="164" fontId="43" fillId="0" borderId="0" xfId="0" applyNumberFormat="1" applyFont="1" applyAlignment="1">
      <alignment horizontal="center"/>
    </xf>
    <xf numFmtId="165" fontId="21" fillId="0" borderId="0" xfId="0" applyNumberFormat="1" applyFont="1"/>
    <xf numFmtId="9" fontId="43" fillId="0" borderId="0" xfId="1" applyFont="1" applyAlignment="1">
      <alignment horizontal="center"/>
    </xf>
    <xf numFmtId="9" fontId="37" fillId="0" borderId="0" xfId="1" applyFont="1" applyAlignment="1">
      <alignment horizontal="center"/>
    </xf>
    <xf numFmtId="9" fontId="38" fillId="0" borderId="0" xfId="1" applyFont="1" applyAlignment="1">
      <alignment horizontal="center"/>
    </xf>
    <xf numFmtId="164" fontId="21" fillId="4" borderId="1" xfId="1" applyNumberFormat="1" applyFont="1" applyFill="1" applyBorder="1"/>
    <xf numFmtId="169" fontId="21" fillId="3" borderId="1" xfId="0" applyNumberFormat="1" applyFont="1" applyFill="1" applyBorder="1"/>
    <xf numFmtId="0" fontId="33" fillId="0" borderId="0" xfId="0" applyFont="1" applyFill="1" applyBorder="1"/>
    <xf numFmtId="0" fontId="21" fillId="0" borderId="5" xfId="0" applyFont="1" applyFill="1" applyBorder="1"/>
    <xf numFmtId="0" fontId="21" fillId="0" borderId="7" xfId="0" applyFont="1" applyBorder="1" applyAlignment="1"/>
    <xf numFmtId="0" fontId="23" fillId="0" borderId="2" xfId="0" applyFont="1" applyBorder="1" applyAlignment="1">
      <alignment horizontal="center" wrapText="1"/>
    </xf>
    <xf numFmtId="0" fontId="23" fillId="0" borderId="1" xfId="0" applyFont="1" applyBorder="1" applyAlignment="1">
      <alignment horizontal="center" wrapText="1"/>
    </xf>
    <xf numFmtId="0" fontId="21" fillId="0" borderId="0" xfId="0" quotePrefix="1" applyFont="1" applyFill="1" applyBorder="1" applyAlignment="1">
      <alignment horizontal="right"/>
    </xf>
    <xf numFmtId="0" fontId="35" fillId="0" borderId="0" xfId="0" applyFont="1" applyBorder="1"/>
    <xf numFmtId="0" fontId="25" fillId="0" borderId="0" xfId="0" applyFont="1" applyBorder="1"/>
    <xf numFmtId="0" fontId="30" fillId="0" borderId="26" xfId="0" applyFont="1" applyBorder="1" applyAlignment="1"/>
    <xf numFmtId="0" fontId="23" fillId="0" borderId="19" xfId="0" applyFont="1" applyBorder="1"/>
    <xf numFmtId="0" fontId="47" fillId="0" borderId="0" xfId="0" applyFont="1"/>
    <xf numFmtId="0" fontId="48" fillId="0" borderId="1" xfId="0" applyFont="1" applyBorder="1"/>
    <xf numFmtId="10" fontId="47" fillId="0" borderId="1" xfId="0" applyNumberFormat="1" applyFont="1" applyBorder="1"/>
    <xf numFmtId="9" fontId="47" fillId="0" borderId="1" xfId="0" applyNumberFormat="1" applyFont="1" applyBorder="1"/>
    <xf numFmtId="164" fontId="21" fillId="0" borderId="1" xfId="2" applyNumberFormat="1" applyFont="1" applyFill="1" applyBorder="1" applyAlignment="1">
      <alignment horizontal="center" wrapText="1"/>
    </xf>
    <xf numFmtId="0" fontId="28" fillId="0" borderId="0" xfId="0" applyFont="1" applyFill="1" applyAlignment="1">
      <alignment horizontal="left" wrapText="1"/>
    </xf>
    <xf numFmtId="0" fontId="21" fillId="0" borderId="1" xfId="0" applyFont="1" applyBorder="1" applyAlignment="1">
      <alignment horizontal="right" wrapText="1"/>
    </xf>
    <xf numFmtId="0" fontId="23" fillId="0" borderId="1" xfId="0" applyFont="1" applyFill="1" applyBorder="1" applyAlignment="1">
      <alignment horizontal="center" wrapText="1"/>
    </xf>
    <xf numFmtId="0" fontId="21" fillId="4" borderId="1" xfId="0" applyFont="1" applyFill="1" applyBorder="1" applyAlignment="1">
      <alignment horizontal="center"/>
    </xf>
    <xf numFmtId="0" fontId="30" fillId="0" borderId="0" xfId="0" applyFont="1" applyFill="1"/>
    <xf numFmtId="0" fontId="21" fillId="0" borderId="0" xfId="0" applyFont="1" applyBorder="1" applyAlignment="1"/>
    <xf numFmtId="0" fontId="21" fillId="0" borderId="14" xfId="0" applyFont="1" applyBorder="1"/>
    <xf numFmtId="0" fontId="21" fillId="0" borderId="1" xfId="0" applyFont="1" applyBorder="1" applyAlignment="1">
      <alignment horizontal="left"/>
    </xf>
    <xf numFmtId="164" fontId="47" fillId="0" borderId="0" xfId="1" applyNumberFormat="1" applyFont="1"/>
    <xf numFmtId="0" fontId="23" fillId="0" borderId="0" xfId="0" applyFont="1" applyFill="1" applyAlignment="1">
      <alignment horizontal="center" wrapText="1"/>
    </xf>
    <xf numFmtId="10" fontId="21" fillId="4" borderId="9" xfId="0" applyNumberFormat="1" applyFont="1" applyFill="1" applyBorder="1"/>
    <xf numFmtId="0" fontId="26" fillId="0" borderId="1" xfId="0" applyFont="1" applyFill="1" applyBorder="1" applyAlignment="1">
      <alignment horizontal="right"/>
    </xf>
    <xf numFmtId="9" fontId="21" fillId="3" borderId="1" xfId="1" applyFont="1" applyFill="1" applyBorder="1"/>
    <xf numFmtId="0" fontId="21" fillId="7" borderId="1" xfId="0" applyFont="1" applyFill="1" applyBorder="1" applyAlignment="1">
      <alignment vertical="center"/>
    </xf>
    <xf numFmtId="0" fontId="21" fillId="7" borderId="1" xfId="0" applyFont="1" applyFill="1" applyBorder="1" applyAlignment="1">
      <alignment vertical="center" wrapText="1"/>
    </xf>
    <xf numFmtId="0" fontId="23" fillId="0" borderId="1" xfId="0" applyFont="1" applyBorder="1" applyAlignment="1">
      <alignment horizontal="center" wrapText="1"/>
    </xf>
    <xf numFmtId="0" fontId="21" fillId="4" borderId="1" xfId="2" applyNumberFormat="1" applyFont="1" applyFill="1" applyBorder="1"/>
    <xf numFmtId="9" fontId="21" fillId="4" borderId="1" xfId="1" applyNumberFormat="1" applyFont="1" applyFill="1" applyBorder="1"/>
    <xf numFmtId="9" fontId="21" fillId="2" borderId="1" xfId="1" applyNumberFormat="1" applyFont="1" applyFill="1" applyBorder="1"/>
    <xf numFmtId="0" fontId="30" fillId="0" borderId="0" xfId="0" applyFont="1" applyFill="1" applyAlignment="1">
      <alignment horizontal="left"/>
    </xf>
    <xf numFmtId="166" fontId="26" fillId="4" borderId="1" xfId="0" applyNumberFormat="1" applyFont="1" applyFill="1" applyBorder="1" applyAlignment="1">
      <alignment horizontal="center"/>
    </xf>
    <xf numFmtId="164" fontId="23" fillId="0" borderId="0" xfId="0" applyNumberFormat="1" applyFont="1"/>
    <xf numFmtId="164" fontId="30" fillId="0" borderId="0" xfId="0" applyNumberFormat="1" applyFont="1"/>
    <xf numFmtId="0" fontId="48" fillId="0" borderId="0" xfId="0" applyFont="1"/>
    <xf numFmtId="0" fontId="50" fillId="0" borderId="0" xfId="0" applyFont="1"/>
    <xf numFmtId="164" fontId="50" fillId="0" borderId="0" xfId="0" applyNumberFormat="1" applyFont="1"/>
    <xf numFmtId="9" fontId="47" fillId="0" borderId="0" xfId="0" applyNumberFormat="1" applyFont="1" applyAlignment="1">
      <alignment vertical="center"/>
    </xf>
    <xf numFmtId="0" fontId="47" fillId="0" borderId="0" xfId="0" applyFont="1" applyAlignment="1">
      <alignment vertical="center"/>
    </xf>
    <xf numFmtId="164" fontId="26" fillId="4" borderId="1" xfId="2" applyNumberFormat="1" applyFont="1" applyFill="1" applyBorder="1"/>
    <xf numFmtId="0" fontId="23" fillId="0" borderId="1" xfId="0" applyFont="1" applyFill="1" applyBorder="1" applyAlignment="1">
      <alignment horizontal="center" wrapText="1"/>
    </xf>
    <xf numFmtId="0" fontId="23" fillId="0" borderId="1" xfId="0" applyFont="1" applyBorder="1" applyAlignment="1">
      <alignment horizontal="center" wrapText="1"/>
    </xf>
    <xf numFmtId="1" fontId="21" fillId="0" borderId="0" xfId="0" applyNumberFormat="1" applyFont="1" applyFill="1"/>
    <xf numFmtId="0" fontId="35" fillId="0" borderId="0" xfId="0" applyFont="1" applyBorder="1" applyAlignment="1">
      <alignment horizontal="left"/>
    </xf>
    <xf numFmtId="0" fontId="23" fillId="0" borderId="70" xfId="0" applyFont="1" applyBorder="1" applyAlignment="1">
      <alignment horizontal="center" wrapText="1"/>
    </xf>
    <xf numFmtId="0" fontId="23" fillId="0" borderId="71" xfId="0" applyFont="1" applyBorder="1" applyAlignment="1">
      <alignment horizontal="center" wrapText="1"/>
    </xf>
    <xf numFmtId="0" fontId="23" fillId="0" borderId="72" xfId="0" applyFont="1" applyBorder="1" applyAlignment="1">
      <alignment horizontal="center" wrapText="1"/>
    </xf>
    <xf numFmtId="0" fontId="40" fillId="0" borderId="0" xfId="0" applyFont="1"/>
    <xf numFmtId="0" fontId="35" fillId="0" borderId="0" xfId="0" applyFont="1" applyFill="1"/>
    <xf numFmtId="0" fontId="53" fillId="0" borderId="0" xfId="0" applyFont="1"/>
    <xf numFmtId="0" fontId="35" fillId="0" borderId="0" xfId="0" applyFont="1" applyAlignment="1">
      <alignment horizontal="left"/>
    </xf>
    <xf numFmtId="0" fontId="35" fillId="0" borderId="0" xfId="0" applyFont="1" applyAlignment="1">
      <alignment wrapText="1"/>
    </xf>
    <xf numFmtId="0" fontId="35" fillId="0" borderId="0" xfId="0" applyFont="1" applyAlignment="1">
      <alignment horizontal="left" vertical="center" wrapText="1"/>
    </xf>
    <xf numFmtId="0" fontId="35" fillId="0" borderId="0" xfId="0" applyFont="1" applyAlignment="1">
      <alignment horizontal="left" vertical="center"/>
    </xf>
    <xf numFmtId="0" fontId="30" fillId="0" borderId="0" xfId="0" applyFont="1" applyFill="1" applyAlignment="1">
      <alignment horizontal="left" vertical="top"/>
    </xf>
    <xf numFmtId="0" fontId="21" fillId="0" borderId="1" xfId="0" applyFont="1" applyFill="1" applyBorder="1" applyAlignment="1">
      <alignment horizontal="center"/>
    </xf>
    <xf numFmtId="0" fontId="23" fillId="0" borderId="1" xfId="0" applyFont="1" applyFill="1" applyBorder="1" applyAlignment="1">
      <alignment horizontal="center" wrapText="1"/>
    </xf>
    <xf numFmtId="0" fontId="23" fillId="0" borderId="1" xfId="0" applyFont="1" applyBorder="1" applyAlignment="1">
      <alignment horizontal="center" wrapText="1"/>
    </xf>
    <xf numFmtId="0" fontId="23" fillId="0" borderId="2" xfId="0" applyFont="1" applyBorder="1" applyAlignment="1">
      <alignment horizontal="center" wrapText="1"/>
    </xf>
    <xf numFmtId="0" fontId="23" fillId="0" borderId="9" xfId="0" applyFont="1" applyBorder="1" applyAlignment="1">
      <alignment horizontal="center" wrapText="1"/>
    </xf>
    <xf numFmtId="0" fontId="21" fillId="3" borderId="1" xfId="0" applyFont="1" applyFill="1" applyBorder="1" applyAlignment="1">
      <alignment horizontal="center"/>
    </xf>
    <xf numFmtId="9" fontId="47" fillId="0" borderId="0" xfId="0" applyNumberFormat="1" applyFont="1" applyAlignment="1">
      <alignment horizontal="center" vertical="center"/>
    </xf>
    <xf numFmtId="0" fontId="47" fillId="0" borderId="0" xfId="0" applyFont="1" applyAlignment="1">
      <alignment horizontal="center" vertical="center"/>
    </xf>
    <xf numFmtId="0" fontId="23" fillId="0" borderId="1" xfId="0" applyFont="1" applyFill="1" applyBorder="1" applyAlignment="1">
      <alignment horizontal="center"/>
    </xf>
    <xf numFmtId="0" fontId="23" fillId="0" borderId="1" xfId="0" applyFont="1" applyFill="1" applyBorder="1" applyAlignment="1">
      <alignment horizontal="center" wrapText="1"/>
    </xf>
    <xf numFmtId="0" fontId="23" fillId="0" borderId="1" xfId="0" applyFont="1" applyBorder="1" applyAlignment="1">
      <alignment horizontal="center" wrapText="1"/>
    </xf>
    <xf numFmtId="0" fontId="35" fillId="0" borderId="0" xfId="0" applyFont="1" applyAlignment="1">
      <alignment horizontal="left" wrapText="1"/>
    </xf>
    <xf numFmtId="0" fontId="23" fillId="0" borderId="1" xfId="0" applyFont="1" applyBorder="1" applyAlignment="1">
      <alignment horizontal="center"/>
    </xf>
    <xf numFmtId="0" fontId="21" fillId="0" borderId="2" xfId="0" applyFont="1" applyFill="1" applyBorder="1" applyAlignment="1">
      <alignment horizontal="right"/>
    </xf>
    <xf numFmtId="0" fontId="21" fillId="0" borderId="1" xfId="0" applyFont="1" applyFill="1" applyBorder="1" applyAlignment="1">
      <alignment horizontal="right"/>
    </xf>
    <xf numFmtId="0" fontId="21" fillId="0" borderId="5" xfId="0" applyFont="1" applyFill="1" applyBorder="1" applyAlignment="1">
      <alignment horizontal="right"/>
    </xf>
    <xf numFmtId="1" fontId="54" fillId="0" borderId="0" xfId="0" applyNumberFormat="1" applyFont="1" applyFill="1" applyBorder="1"/>
    <xf numFmtId="1" fontId="54" fillId="0" borderId="0" xfId="0" applyNumberFormat="1" applyFont="1" applyFill="1"/>
    <xf numFmtId="0" fontId="37" fillId="0" borderId="0" xfId="0" applyFont="1" applyFill="1" applyBorder="1" applyAlignment="1">
      <alignment horizontal="left"/>
    </xf>
    <xf numFmtId="0" fontId="35" fillId="0" borderId="26" xfId="0" applyFont="1" applyFill="1" applyBorder="1" applyAlignment="1">
      <alignment horizontal="left"/>
    </xf>
    <xf numFmtId="166" fontId="26" fillId="3" borderId="1" xfId="0" applyNumberFormat="1" applyFont="1" applyFill="1" applyBorder="1"/>
    <xf numFmtId="0" fontId="21" fillId="3" borderId="1" xfId="0" applyFont="1" applyFill="1" applyBorder="1" applyAlignment="1"/>
    <xf numFmtId="9" fontId="30" fillId="6" borderId="1" xfId="1" applyFont="1" applyFill="1" applyBorder="1" applyAlignment="1">
      <alignment horizontal="center"/>
    </xf>
    <xf numFmtId="164" fontId="30" fillId="0" borderId="1" xfId="0" applyNumberFormat="1" applyFont="1" applyBorder="1"/>
    <xf numFmtId="164" fontId="30" fillId="0" borderId="5" xfId="0" applyNumberFormat="1" applyFont="1" applyBorder="1"/>
    <xf numFmtId="164" fontId="30" fillId="0" borderId="7" xfId="0" applyNumberFormat="1" applyFont="1" applyBorder="1"/>
    <xf numFmtId="164" fontId="30" fillId="0" borderId="6" xfId="0" applyNumberFormat="1" applyFont="1" applyBorder="1"/>
    <xf numFmtId="164" fontId="30" fillId="0" borderId="20" xfId="0" applyNumberFormat="1" applyFont="1" applyBorder="1"/>
    <xf numFmtId="164" fontId="21" fillId="3" borderId="1" xfId="2" applyNumberFormat="1" applyFont="1" applyFill="1" applyBorder="1" applyAlignment="1">
      <alignment horizontal="right"/>
    </xf>
    <xf numFmtId="0" fontId="21" fillId="3" borderId="1" xfId="2" applyNumberFormat="1" applyFont="1" applyFill="1" applyBorder="1" applyAlignment="1">
      <alignment horizontal="right"/>
    </xf>
    <xf numFmtId="167" fontId="21" fillId="3" borderId="1" xfId="0" applyNumberFormat="1" applyFont="1" applyFill="1" applyBorder="1" applyAlignment="1">
      <alignment horizontal="right"/>
    </xf>
    <xf numFmtId="1" fontId="30" fillId="0" borderId="1" xfId="0" applyNumberFormat="1" applyFont="1" applyFill="1" applyBorder="1" applyAlignment="1">
      <alignment horizontal="center"/>
    </xf>
    <xf numFmtId="0" fontId="30" fillId="2" borderId="1" xfId="0" applyFont="1" applyFill="1" applyBorder="1" applyAlignment="1">
      <alignment horizontal="center"/>
    </xf>
    <xf numFmtId="1" fontId="30" fillId="3" borderId="1" xfId="0" applyNumberFormat="1" applyFont="1" applyFill="1" applyBorder="1" applyAlignment="1">
      <alignment horizontal="center"/>
    </xf>
    <xf numFmtId="168" fontId="30" fillId="3" borderId="1" xfId="1" applyNumberFormat="1" applyFont="1" applyFill="1" applyBorder="1" applyAlignment="1">
      <alignment horizontal="center"/>
    </xf>
    <xf numFmtId="0" fontId="34" fillId="0" borderId="0" xfId="0" applyFont="1" applyFill="1"/>
    <xf numFmtId="0" fontId="35" fillId="2" borderId="1" xfId="0" applyFont="1" applyFill="1" applyBorder="1" applyAlignment="1">
      <alignment horizontal="center"/>
    </xf>
    <xf numFmtId="164" fontId="35" fillId="0" borderId="1" xfId="0" applyNumberFormat="1" applyFont="1" applyFill="1" applyBorder="1"/>
    <xf numFmtId="164" fontId="30" fillId="0" borderId="7" xfId="0" applyNumberFormat="1" applyFont="1" applyBorder="1" applyAlignment="1"/>
    <xf numFmtId="1" fontId="30" fillId="0" borderId="8" xfId="0" applyNumberFormat="1" applyFont="1" applyFill="1" applyBorder="1"/>
    <xf numFmtId="1" fontId="30" fillId="0" borderId="1" xfId="0" applyNumberFormat="1" applyFont="1" applyFill="1" applyBorder="1"/>
    <xf numFmtId="1" fontId="35" fillId="0" borderId="1" xfId="0" applyNumberFormat="1" applyFont="1" applyBorder="1"/>
    <xf numFmtId="9" fontId="35" fillId="0" borderId="2" xfId="1" applyFont="1" applyBorder="1"/>
    <xf numFmtId="1" fontId="30" fillId="0" borderId="50" xfId="0" applyNumberFormat="1" applyFont="1" applyBorder="1"/>
    <xf numFmtId="1" fontId="30" fillId="0" borderId="1" xfId="0" applyNumberFormat="1" applyFont="1" applyBorder="1"/>
    <xf numFmtId="1" fontId="30" fillId="0" borderId="3" xfId="0" applyNumberFormat="1" applyFont="1" applyBorder="1"/>
    <xf numFmtId="1" fontId="30" fillId="0" borderId="2" xfId="0" applyNumberFormat="1" applyFont="1" applyFill="1" applyBorder="1"/>
    <xf numFmtId="1" fontId="30" fillId="0" borderId="39" xfId="0" applyNumberFormat="1" applyFont="1" applyFill="1" applyBorder="1"/>
    <xf numFmtId="1" fontId="30" fillId="0" borderId="5" xfId="0" applyNumberFormat="1" applyFont="1" applyFill="1" applyBorder="1"/>
    <xf numFmtId="1" fontId="35" fillId="0" borderId="5" xfId="0" applyNumberFormat="1" applyFont="1" applyBorder="1"/>
    <xf numFmtId="9" fontId="35" fillId="0" borderId="21" xfId="1" applyFont="1" applyBorder="1"/>
    <xf numFmtId="1" fontId="30" fillId="0" borderId="51" xfId="0" applyNumberFormat="1" applyFont="1" applyBorder="1"/>
    <xf numFmtId="1" fontId="30" fillId="0" borderId="5" xfId="0" applyNumberFormat="1" applyFont="1" applyBorder="1"/>
    <xf numFmtId="1" fontId="30" fillId="0" borderId="22" xfId="0" applyNumberFormat="1" applyFont="1" applyBorder="1"/>
    <xf numFmtId="1" fontId="30" fillId="0" borderId="21" xfId="0" applyNumberFormat="1" applyFont="1" applyFill="1" applyBorder="1"/>
    <xf numFmtId="1" fontId="30" fillId="0" borderId="41" xfId="0" applyNumberFormat="1" applyFont="1" applyFill="1" applyBorder="1"/>
    <xf numFmtId="1" fontId="30" fillId="0" borderId="20" xfId="0" applyNumberFormat="1" applyFont="1" applyFill="1" applyBorder="1"/>
    <xf numFmtId="9" fontId="30" fillId="0" borderId="24" xfId="1" applyFont="1" applyFill="1" applyBorder="1"/>
    <xf numFmtId="1" fontId="30" fillId="0" borderId="52" xfId="0" applyNumberFormat="1" applyFont="1" applyFill="1" applyBorder="1"/>
    <xf numFmtId="1" fontId="30" fillId="0" borderId="73" xfId="0" applyNumberFormat="1" applyFont="1" applyFill="1" applyBorder="1"/>
    <xf numFmtId="0" fontId="30" fillId="0" borderId="44" xfId="0" applyFont="1" applyFill="1" applyBorder="1"/>
    <xf numFmtId="0" fontId="30" fillId="0" borderId="24" xfId="0" applyFont="1" applyFill="1" applyBorder="1"/>
    <xf numFmtId="0" fontId="30" fillId="0" borderId="42" xfId="0" applyFont="1" applyFill="1" applyBorder="1"/>
    <xf numFmtId="1" fontId="30" fillId="0" borderId="29" xfId="0" applyNumberFormat="1" applyFont="1" applyBorder="1"/>
    <xf numFmtId="1" fontId="30" fillId="0" borderId="54" xfId="0" applyNumberFormat="1" applyFont="1" applyFill="1" applyBorder="1"/>
    <xf numFmtId="0" fontId="21" fillId="3" borderId="8" xfId="0" applyFont="1" applyFill="1" applyBorder="1"/>
    <xf numFmtId="0" fontId="21" fillId="3" borderId="9" xfId="0" applyFont="1" applyFill="1" applyBorder="1"/>
    <xf numFmtId="0" fontId="21" fillId="3" borderId="39" xfId="0" applyFont="1" applyFill="1" applyBorder="1"/>
    <xf numFmtId="0" fontId="21" fillId="3" borderId="21" xfId="0" applyFont="1" applyFill="1" applyBorder="1"/>
    <xf numFmtId="0" fontId="21" fillId="3" borderId="38" xfId="0" applyFont="1" applyFill="1" applyBorder="1"/>
    <xf numFmtId="9" fontId="30" fillId="0" borderId="20" xfId="1" applyFont="1" applyFill="1" applyBorder="1"/>
    <xf numFmtId="1" fontId="30" fillId="0" borderId="53" xfId="0" applyNumberFormat="1" applyFont="1" applyFill="1" applyBorder="1"/>
    <xf numFmtId="1" fontId="30" fillId="0" borderId="30" xfId="0" applyNumberFormat="1" applyFont="1" applyBorder="1"/>
    <xf numFmtId="0" fontId="30" fillId="0" borderId="41" xfId="0" applyFont="1" applyFill="1" applyBorder="1"/>
    <xf numFmtId="9" fontId="30" fillId="0" borderId="63" xfId="1" applyFont="1" applyFill="1" applyBorder="1"/>
    <xf numFmtId="1" fontId="30" fillId="0" borderId="34" xfId="0" applyNumberFormat="1" applyFont="1" applyFill="1" applyBorder="1"/>
    <xf numFmtId="1" fontId="30" fillId="0" borderId="60" xfId="0" applyNumberFormat="1" applyFont="1" applyFill="1" applyBorder="1"/>
    <xf numFmtId="1" fontId="30" fillId="0" borderId="64" xfId="0" applyNumberFormat="1" applyFont="1" applyFill="1" applyBorder="1"/>
    <xf numFmtId="9" fontId="35" fillId="0" borderId="29" xfId="1" applyFont="1" applyBorder="1"/>
    <xf numFmtId="9" fontId="35" fillId="0" borderId="57" xfId="1" applyFont="1" applyBorder="1"/>
    <xf numFmtId="1" fontId="30" fillId="0" borderId="37" xfId="0" applyNumberFormat="1" applyFont="1" applyFill="1" applyBorder="1"/>
    <xf numFmtId="1" fontId="30" fillId="0" borderId="6" xfId="0" applyNumberFormat="1" applyFont="1" applyFill="1" applyBorder="1"/>
    <xf numFmtId="1" fontId="35" fillId="0" borderId="6" xfId="0" applyNumberFormat="1" applyFont="1" applyBorder="1"/>
    <xf numFmtId="9" fontId="35" fillId="0" borderId="61" xfId="1" applyFont="1" applyBorder="1"/>
    <xf numFmtId="9" fontId="35" fillId="0" borderId="62" xfId="1" applyFont="1" applyBorder="1"/>
    <xf numFmtId="1" fontId="35" fillId="0" borderId="50" xfId="0" applyNumberFormat="1" applyFont="1" applyBorder="1"/>
    <xf numFmtId="1" fontId="35" fillId="0" borderId="51" xfId="0" applyNumberFormat="1" applyFont="1" applyBorder="1"/>
    <xf numFmtId="0" fontId="21" fillId="3" borderId="43" xfId="0" applyFont="1" applyFill="1" applyBorder="1"/>
    <xf numFmtId="0" fontId="21" fillId="3" borderId="40" xfId="0" applyFont="1" applyFill="1" applyBorder="1"/>
    <xf numFmtId="1" fontId="30" fillId="0" borderId="24" xfId="0" applyNumberFormat="1" applyFont="1" applyFill="1" applyBorder="1"/>
    <xf numFmtId="1" fontId="30" fillId="0" borderId="67" xfId="0" applyNumberFormat="1" applyFont="1" applyFill="1" applyBorder="1"/>
    <xf numFmtId="1" fontId="30" fillId="0" borderId="31" xfId="0" applyNumberFormat="1" applyFont="1" applyFill="1" applyBorder="1"/>
    <xf numFmtId="1" fontId="30" fillId="0" borderId="32" xfId="0" applyNumberFormat="1" applyFont="1" applyFill="1" applyBorder="1"/>
    <xf numFmtId="0" fontId="30" fillId="0" borderId="20" xfId="0" applyFont="1" applyFill="1" applyBorder="1"/>
    <xf numFmtId="0" fontId="30" fillId="0" borderId="20" xfId="0" quotePrefix="1" applyFont="1" applyFill="1" applyBorder="1" applyAlignment="1">
      <alignment horizontal="right"/>
    </xf>
    <xf numFmtId="0" fontId="30" fillId="0" borderId="1" xfId="0" applyFont="1" applyFill="1" applyBorder="1"/>
    <xf numFmtId="0" fontId="30" fillId="0" borderId="5" xfId="0" applyFont="1" applyFill="1" applyBorder="1"/>
    <xf numFmtId="168" fontId="30" fillId="0" borderId="4" xfId="0" quotePrefix="1" applyNumberFormat="1" applyFont="1" applyFill="1" applyBorder="1"/>
    <xf numFmtId="2" fontId="30" fillId="0" borderId="1" xfId="0" applyNumberFormat="1" applyFont="1" applyBorder="1"/>
    <xf numFmtId="10" fontId="30" fillId="0" borderId="1" xfId="1" applyNumberFormat="1" applyFont="1" applyFill="1" applyBorder="1"/>
    <xf numFmtId="2" fontId="30" fillId="0" borderId="1" xfId="0" applyNumberFormat="1" applyFont="1" applyFill="1" applyBorder="1"/>
    <xf numFmtId="165" fontId="30" fillId="0" borderId="1" xfId="0" applyNumberFormat="1" applyFont="1" applyFill="1" applyBorder="1" applyAlignment="1">
      <alignment horizontal="center"/>
    </xf>
    <xf numFmtId="0" fontId="30" fillId="0" borderId="1" xfId="0" quotePrefix="1" applyFont="1" applyFill="1" applyBorder="1" applyAlignment="1">
      <alignment horizontal="right"/>
    </xf>
    <xf numFmtId="164" fontId="30" fillId="0" borderId="1" xfId="0" applyNumberFormat="1" applyFont="1" applyFill="1" applyBorder="1"/>
    <xf numFmtId="0" fontId="48" fillId="0" borderId="5" xfId="0" applyFont="1" applyBorder="1" applyAlignment="1">
      <alignment horizontal="center"/>
    </xf>
    <xf numFmtId="164" fontId="47" fillId="0" borderId="7" xfId="0" applyNumberFormat="1" applyFont="1" applyBorder="1"/>
    <xf numFmtId="164" fontId="47" fillId="0" borderId="1" xfId="0" applyNumberFormat="1" applyFont="1" applyBorder="1"/>
    <xf numFmtId="164" fontId="47" fillId="0" borderId="6" xfId="0" applyNumberFormat="1" applyFont="1" applyBorder="1"/>
    <xf numFmtId="164" fontId="48" fillId="0" borderId="20" xfId="0" applyNumberFormat="1" applyFont="1" applyBorder="1"/>
    <xf numFmtId="0" fontId="35" fillId="0" borderId="0" xfId="0" applyFont="1" applyAlignment="1">
      <alignment vertical="center" wrapText="1"/>
    </xf>
    <xf numFmtId="0" fontId="23" fillId="0" borderId="2" xfId="0" applyFont="1" applyFill="1" applyBorder="1" applyAlignment="1">
      <alignment wrapText="1"/>
    </xf>
    <xf numFmtId="0" fontId="30" fillId="0" borderId="7" xfId="0" applyFont="1" applyFill="1" applyBorder="1" applyAlignment="1">
      <alignment wrapText="1"/>
    </xf>
    <xf numFmtId="0" fontId="56" fillId="0" borderId="0" xfId="0" applyFont="1" applyAlignment="1">
      <alignment horizontal="right"/>
    </xf>
    <xf numFmtId="2" fontId="35" fillId="0" borderId="7" xfId="0" applyNumberFormat="1" applyFont="1" applyBorder="1"/>
    <xf numFmtId="0" fontId="26" fillId="0" borderId="7" xfId="0" applyFont="1" applyBorder="1"/>
    <xf numFmtId="0" fontId="23" fillId="0" borderId="5" xfId="0" applyFont="1" applyBorder="1"/>
    <xf numFmtId="0" fontId="23" fillId="0" borderId="5" xfId="0" applyNumberFormat="1" applyFont="1" applyBorder="1"/>
    <xf numFmtId="0" fontId="31" fillId="0" borderId="5" xfId="0" applyNumberFormat="1" applyFont="1" applyBorder="1"/>
    <xf numFmtId="0" fontId="31" fillId="0" borderId="5" xfId="0" applyFont="1" applyBorder="1" applyAlignment="1">
      <alignment horizontal="center" wrapText="1"/>
    </xf>
    <xf numFmtId="0" fontId="34" fillId="0" borderId="0" xfId="0" applyFont="1" applyBorder="1"/>
    <xf numFmtId="0" fontId="23" fillId="0" borderId="1" xfId="0" applyFont="1" applyFill="1" applyBorder="1" applyAlignment="1">
      <alignment horizontal="center"/>
    </xf>
    <xf numFmtId="0" fontId="21" fillId="0" borderId="1" xfId="0" applyFont="1" applyBorder="1" applyAlignment="1">
      <alignment horizontal="left"/>
    </xf>
    <xf numFmtId="164" fontId="37" fillId="0" borderId="0" xfId="0" applyNumberFormat="1" applyFont="1"/>
    <xf numFmtId="9" fontId="35" fillId="0" borderId="7" xfId="1" applyFont="1" applyBorder="1"/>
    <xf numFmtId="9" fontId="35" fillId="0" borderId="1" xfId="1" applyFont="1" applyBorder="1"/>
    <xf numFmtId="0" fontId="26" fillId="0" borderId="1" xfId="0" applyFont="1" applyBorder="1" applyAlignment="1">
      <alignment horizontal="left"/>
    </xf>
    <xf numFmtId="164" fontId="21" fillId="0" borderId="0" xfId="0" applyNumberFormat="1" applyFont="1" applyFill="1" applyBorder="1"/>
    <xf numFmtId="0" fontId="30" fillId="0" borderId="16" xfId="0" applyFont="1" applyBorder="1" applyAlignment="1"/>
    <xf numFmtId="0" fontId="30" fillId="0" borderId="6" xfId="0" applyFont="1" applyBorder="1" applyAlignment="1"/>
    <xf numFmtId="0" fontId="30" fillId="0" borderId="15" xfId="0" applyFont="1" applyBorder="1" applyAlignment="1"/>
    <xf numFmtId="0" fontId="30" fillId="0" borderId="0" xfId="0" applyFont="1" applyBorder="1" applyAlignment="1"/>
    <xf numFmtId="0" fontId="26" fillId="0" borderId="1" xfId="0" applyFont="1" applyFill="1" applyBorder="1" applyAlignment="1">
      <alignment wrapText="1"/>
    </xf>
    <xf numFmtId="0" fontId="31" fillId="0" borderId="13" xfId="0" applyFont="1" applyFill="1" applyBorder="1" applyAlignment="1">
      <alignment horizontal="center" wrapText="1"/>
    </xf>
    <xf numFmtId="8" fontId="21" fillId="4" borderId="1" xfId="0" applyNumberFormat="1" applyFont="1" applyFill="1" applyBorder="1" applyAlignment="1">
      <alignment horizontal="right" vertical="top" wrapText="1"/>
    </xf>
    <xf numFmtId="0" fontId="19" fillId="0" borderId="1" xfId="0" applyFont="1" applyFill="1" applyBorder="1" applyAlignment="1">
      <alignment horizontal="left" vertical="top" wrapText="1"/>
    </xf>
    <xf numFmtId="0" fontId="23" fillId="0" borderId="20" xfId="0" applyFont="1" applyBorder="1"/>
    <xf numFmtId="0" fontId="23" fillId="0" borderId="5" xfId="0" applyFont="1" applyBorder="1" applyAlignment="1">
      <alignment wrapText="1"/>
    </xf>
    <xf numFmtId="0" fontId="23" fillId="0" borderId="21" xfId="0" applyFont="1" applyBorder="1"/>
    <xf numFmtId="0" fontId="23" fillId="0" borderId="39" xfId="0" applyFont="1" applyBorder="1" applyAlignment="1">
      <alignment wrapText="1"/>
    </xf>
    <xf numFmtId="0" fontId="23" fillId="0" borderId="0" xfId="0" applyFont="1" applyBorder="1"/>
    <xf numFmtId="0" fontId="23" fillId="0" borderId="1" xfId="0" applyFont="1" applyFill="1" applyBorder="1" applyAlignment="1">
      <alignment horizontal="center"/>
    </xf>
    <xf numFmtId="0" fontId="23" fillId="0" borderId="1" xfId="0" applyFont="1" applyFill="1" applyBorder="1" applyAlignment="1">
      <alignment horizontal="center" wrapText="1"/>
    </xf>
    <xf numFmtId="0" fontId="23" fillId="0" borderId="1" xfId="0" applyFont="1" applyBorder="1" applyAlignment="1">
      <alignment horizontal="center" wrapText="1"/>
    </xf>
    <xf numFmtId="0" fontId="23" fillId="0" borderId="1" xfId="0" applyFont="1" applyBorder="1" applyAlignment="1">
      <alignment horizontal="center"/>
    </xf>
    <xf numFmtId="0" fontId="23" fillId="0" borderId="1" xfId="0" applyFont="1" applyBorder="1" applyAlignment="1">
      <alignment horizontal="center" wrapText="1"/>
    </xf>
    <xf numFmtId="0" fontId="18" fillId="0" borderId="1" xfId="0" applyFont="1" applyBorder="1" applyAlignment="1">
      <alignment horizontal="right" wrapText="1"/>
    </xf>
    <xf numFmtId="0" fontId="21" fillId="0" borderId="26" xfId="0" applyFont="1" applyFill="1" applyBorder="1" applyAlignment="1">
      <alignment horizontal="right" wrapText="1"/>
    </xf>
    <xf numFmtId="164" fontId="21" fillId="0" borderId="26" xfId="2" applyNumberFormat="1" applyFont="1" applyFill="1" applyBorder="1"/>
    <xf numFmtId="164" fontId="21" fillId="0" borderId="13" xfId="2" applyNumberFormat="1" applyFont="1" applyFill="1" applyBorder="1"/>
    <xf numFmtId="164" fontId="35" fillId="0" borderId="1" xfId="2" applyNumberFormat="1" applyFont="1" applyFill="1" applyBorder="1"/>
    <xf numFmtId="0" fontId="18" fillId="0" borderId="1" xfId="0" applyFont="1" applyBorder="1"/>
    <xf numFmtId="164" fontId="18" fillId="0" borderId="1" xfId="0" applyNumberFormat="1" applyFont="1" applyFill="1" applyBorder="1"/>
    <xf numFmtId="164" fontId="18" fillId="0" borderId="1" xfId="0" applyNumberFormat="1" applyFont="1" applyFill="1" applyBorder="1" applyAlignment="1">
      <alignment wrapText="1"/>
    </xf>
    <xf numFmtId="0" fontId="35" fillId="2" borderId="5" xfId="0" applyFont="1" applyFill="1" applyBorder="1" applyAlignment="1">
      <alignment horizontal="right"/>
    </xf>
    <xf numFmtId="0" fontId="18" fillId="0" borderId="0" xfId="0" applyFont="1" applyFill="1" applyBorder="1" applyAlignment="1">
      <alignment horizontal="left" wrapText="1"/>
    </xf>
    <xf numFmtId="0" fontId="21" fillId="0" borderId="0" xfId="0" applyFont="1" applyFill="1" applyBorder="1" applyAlignment="1">
      <alignment horizontal="left" wrapText="1"/>
    </xf>
    <xf numFmtId="0" fontId="18" fillId="0" borderId="0" xfId="0" applyFont="1" applyBorder="1"/>
    <xf numFmtId="0" fontId="21" fillId="4" borderId="1" xfId="0" applyNumberFormat="1" applyFont="1" applyFill="1" applyBorder="1" applyAlignment="1">
      <alignment vertical="center"/>
    </xf>
    <xf numFmtId="0" fontId="21" fillId="3" borderId="1" xfId="0" applyFont="1" applyFill="1" applyBorder="1" applyAlignment="1">
      <alignment horizontal="right" vertical="center"/>
    </xf>
    <xf numFmtId="164" fontId="21" fillId="0" borderId="0" xfId="2" applyNumberFormat="1" applyFont="1" applyFill="1" applyBorder="1" applyAlignment="1">
      <alignment horizontal="center"/>
    </xf>
    <xf numFmtId="0" fontId="21" fillId="0" borderId="0" xfId="0" applyFont="1" applyFill="1" applyBorder="1" applyAlignment="1">
      <alignment horizontal="right" vertical="center"/>
    </xf>
    <xf numFmtId="0" fontId="18" fillId="0" borderId="1" xfId="0" applyFont="1" applyFill="1" applyBorder="1" applyAlignment="1">
      <alignment horizontal="center" wrapText="1"/>
    </xf>
    <xf numFmtId="0" fontId="18" fillId="0" borderId="6" xfId="0" applyFont="1" applyFill="1" applyBorder="1" applyAlignment="1">
      <alignment vertical="center" wrapText="1"/>
    </xf>
    <xf numFmtId="0" fontId="23" fillId="0" borderId="26" xfId="0" applyFont="1" applyBorder="1" applyAlignment="1"/>
    <xf numFmtId="0" fontId="23" fillId="0" borderId="26" xfId="0" applyFont="1" applyBorder="1" applyAlignment="1">
      <alignment horizontal="center"/>
    </xf>
    <xf numFmtId="0" fontId="31" fillId="0" borderId="26" xfId="0" applyFont="1" applyBorder="1" applyAlignment="1">
      <alignment horizontal="center"/>
    </xf>
    <xf numFmtId="0" fontId="18" fillId="0" borderId="1" xfId="0" applyFont="1" applyFill="1" applyBorder="1" applyAlignment="1">
      <alignment vertical="center"/>
    </xf>
    <xf numFmtId="0" fontId="18" fillId="0" borderId="1" xfId="0" applyFont="1" applyFill="1" applyBorder="1" applyAlignment="1">
      <alignment vertical="center" wrapText="1"/>
    </xf>
    <xf numFmtId="0" fontId="17" fillId="0" borderId="1" xfId="0" applyFont="1" applyBorder="1"/>
    <xf numFmtId="0" fontId="17" fillId="5" borderId="1" xfId="0" applyFont="1" applyFill="1" applyBorder="1" applyAlignment="1">
      <alignment vertical="center" wrapText="1"/>
    </xf>
    <xf numFmtId="0" fontId="17" fillId="5" borderId="1" xfId="0" applyFont="1" applyFill="1" applyBorder="1" applyAlignment="1">
      <alignment vertical="center"/>
    </xf>
    <xf numFmtId="0" fontId="21" fillId="5" borderId="1" xfId="0" applyFont="1" applyFill="1" applyBorder="1" applyAlignment="1">
      <alignment vertical="center"/>
    </xf>
    <xf numFmtId="0" fontId="27" fillId="0" borderId="0" xfId="0" applyFont="1"/>
    <xf numFmtId="0" fontId="47" fillId="0" borderId="0" xfId="0" applyFont="1" applyAlignment="1">
      <alignment horizontal="center" vertical="center"/>
    </xf>
    <xf numFmtId="164" fontId="21" fillId="3" borderId="1" xfId="2" applyNumberFormat="1" applyFont="1" applyFill="1" applyBorder="1" applyAlignment="1">
      <alignment horizontal="center" wrapText="1"/>
    </xf>
    <xf numFmtId="164" fontId="16" fillId="0" borderId="1" xfId="0" applyNumberFormat="1" applyFont="1" applyFill="1" applyBorder="1"/>
    <xf numFmtId="9" fontId="35" fillId="0" borderId="6" xfId="1" applyFont="1" applyBorder="1"/>
    <xf numFmtId="164" fontId="37" fillId="0" borderId="0" xfId="0" applyNumberFormat="1" applyFont="1" applyFill="1" applyBorder="1"/>
    <xf numFmtId="168" fontId="26" fillId="4" borderId="6" xfId="1" applyNumberFormat="1" applyFont="1" applyFill="1" applyBorder="1"/>
    <xf numFmtId="0" fontId="26" fillId="4" borderId="1" xfId="2" applyNumberFormat="1" applyFont="1" applyFill="1" applyBorder="1"/>
    <xf numFmtId="164" fontId="26" fillId="4" borderId="6" xfId="2" applyNumberFormat="1" applyFont="1" applyFill="1" applyBorder="1"/>
    <xf numFmtId="0" fontId="15" fillId="0" borderId="1" xfId="0" applyFont="1" applyBorder="1"/>
    <xf numFmtId="0" fontId="26" fillId="0" borderId="5" xfId="0" applyFont="1" applyBorder="1"/>
    <xf numFmtId="164" fontId="26" fillId="0" borderId="5" xfId="0" applyNumberFormat="1" applyFont="1" applyBorder="1"/>
    <xf numFmtId="164" fontId="26" fillId="0" borderId="0" xfId="0" applyNumberFormat="1" applyFont="1"/>
    <xf numFmtId="0" fontId="15" fillId="0" borderId="7" xfId="0" applyFont="1" applyBorder="1"/>
    <xf numFmtId="0" fontId="31" fillId="0" borderId="1" xfId="0" applyFont="1" applyBorder="1" applyAlignment="1">
      <alignment wrapText="1"/>
    </xf>
    <xf numFmtId="0" fontId="14" fillId="0" borderId="5" xfId="0" applyFont="1" applyBorder="1"/>
    <xf numFmtId="0" fontId="14" fillId="0" borderId="1" xfId="0" applyFont="1" applyBorder="1"/>
    <xf numFmtId="0" fontId="60" fillId="0" borderId="0" xfId="0" applyFont="1"/>
    <xf numFmtId="0" fontId="14" fillId="0" borderId="1" xfId="0" applyFont="1" applyFill="1" applyBorder="1" applyAlignment="1">
      <alignment vertical="center"/>
    </xf>
    <xf numFmtId="164" fontId="47" fillId="0" borderId="0" xfId="0" applyNumberFormat="1" applyFont="1"/>
    <xf numFmtId="164" fontId="37" fillId="0" borderId="0" xfId="1" applyNumberFormat="1" applyFont="1"/>
    <xf numFmtId="164" fontId="35" fillId="0" borderId="7" xfId="0" applyNumberFormat="1" applyFont="1" applyFill="1" applyBorder="1"/>
    <xf numFmtId="164" fontId="35" fillId="0" borderId="5" xfId="0" applyNumberFormat="1" applyFont="1" applyFill="1" applyBorder="1"/>
    <xf numFmtId="164" fontId="50" fillId="0" borderId="0" xfId="0" applyNumberFormat="1" applyFont="1" applyFill="1"/>
    <xf numFmtId="0" fontId="30" fillId="0" borderId="0" xfId="0" applyFont="1" applyAlignment="1">
      <alignment horizontal="left" wrapText="1"/>
    </xf>
    <xf numFmtId="164" fontId="25" fillId="0" borderId="26" xfId="0" applyNumberFormat="1" applyFont="1" applyFill="1" applyBorder="1" applyAlignment="1">
      <alignment horizontal="center"/>
    </xf>
    <xf numFmtId="0" fontId="13" fillId="0" borderId="0" xfId="0" applyFont="1"/>
    <xf numFmtId="0" fontId="59" fillId="0" borderId="0" xfId="0" applyFont="1"/>
    <xf numFmtId="0" fontId="60" fillId="0" borderId="0" xfId="0" applyFont="1" applyAlignment="1">
      <alignment wrapText="1"/>
    </xf>
    <xf numFmtId="166" fontId="21" fillId="0" borderId="0" xfId="0" applyNumberFormat="1" applyFont="1"/>
    <xf numFmtId="164" fontId="13" fillId="4" borderId="1" xfId="2" applyNumberFormat="1" applyFont="1" applyFill="1" applyBorder="1"/>
    <xf numFmtId="164" fontId="21" fillId="0" borderId="0" xfId="2" applyNumberFormat="1" applyFont="1" applyFill="1" applyBorder="1"/>
    <xf numFmtId="164" fontId="21" fillId="3" borderId="1" xfId="2" applyNumberFormat="1" applyFont="1" applyFill="1" applyBorder="1"/>
    <xf numFmtId="164" fontId="26" fillId="3" borderId="1" xfId="2" applyNumberFormat="1" applyFont="1" applyFill="1" applyBorder="1"/>
    <xf numFmtId="164" fontId="26" fillId="3" borderId="6" xfId="2" applyNumberFormat="1" applyFont="1" applyFill="1" applyBorder="1"/>
    <xf numFmtId="168" fontId="26" fillId="3" borderId="6" xfId="1" applyNumberFormat="1" applyFont="1" applyFill="1" applyBorder="1"/>
    <xf numFmtId="0" fontId="13" fillId="0" borderId="6" xfId="0" applyFont="1" applyFill="1" applyBorder="1" applyAlignment="1">
      <alignment vertical="center" wrapText="1"/>
    </xf>
    <xf numFmtId="0" fontId="26" fillId="0" borderId="26" xfId="0" applyFont="1" applyBorder="1" applyAlignment="1">
      <alignment horizontal="right" wrapText="1"/>
    </xf>
    <xf numFmtId="0" fontId="12" fillId="0" borderId="1" xfId="0" applyFont="1" applyBorder="1" applyAlignment="1">
      <alignment horizontal="right" wrapText="1"/>
    </xf>
    <xf numFmtId="0" fontId="12" fillId="0" borderId="26" xfId="0" applyFont="1" applyBorder="1" applyAlignment="1">
      <alignment horizontal="right" wrapText="1"/>
    </xf>
    <xf numFmtId="0" fontId="35" fillId="0" borderId="13" xfId="0" applyFont="1" applyBorder="1" applyAlignment="1">
      <alignment horizontal="left"/>
    </xf>
    <xf numFmtId="0" fontId="21" fillId="0" borderId="13" xfId="0" applyFont="1" applyBorder="1" applyAlignment="1">
      <alignment horizontal="center"/>
    </xf>
    <xf numFmtId="168" fontId="21" fillId="0" borderId="13" xfId="1" applyNumberFormat="1" applyFont="1" applyFill="1" applyBorder="1"/>
    <xf numFmtId="0" fontId="12" fillId="0" borderId="1" xfId="0" applyFont="1" applyBorder="1"/>
    <xf numFmtId="9" fontId="12" fillId="3" borderId="1" xfId="1" applyFont="1" applyFill="1" applyBorder="1"/>
    <xf numFmtId="0" fontId="11" fillId="0" borderId="1" xfId="0" applyFont="1" applyFill="1" applyBorder="1"/>
    <xf numFmtId="0" fontId="10" fillId="0" borderId="7" xfId="0" applyFont="1" applyBorder="1"/>
    <xf numFmtId="0" fontId="10" fillId="0" borderId="0" xfId="0" applyFont="1"/>
    <xf numFmtId="0" fontId="10" fillId="0" borderId="1" xfId="0" applyFont="1" applyBorder="1"/>
    <xf numFmtId="0" fontId="10" fillId="3" borderId="1" xfId="0" applyFont="1" applyFill="1" applyBorder="1"/>
    <xf numFmtId="164" fontId="10" fillId="4" borderId="7" xfId="0" applyNumberFormat="1" applyFont="1" applyFill="1" applyBorder="1"/>
    <xf numFmtId="164" fontId="10" fillId="0" borderId="68" xfId="0" applyNumberFormat="1" applyFont="1" applyBorder="1"/>
    <xf numFmtId="164" fontId="10" fillId="0" borderId="1" xfId="0" applyNumberFormat="1" applyFont="1" applyBorder="1"/>
    <xf numFmtId="164" fontId="10" fillId="0" borderId="2" xfId="0" applyNumberFormat="1" applyFont="1" applyBorder="1"/>
    <xf numFmtId="164" fontId="10" fillId="0" borderId="8" xfId="0" applyNumberFormat="1" applyFont="1" applyBorder="1"/>
    <xf numFmtId="0" fontId="10" fillId="0" borderId="5" xfId="0" applyFont="1" applyBorder="1"/>
    <xf numFmtId="164" fontId="10" fillId="0" borderId="5" xfId="0" applyNumberFormat="1" applyFont="1" applyBorder="1"/>
    <xf numFmtId="164" fontId="10" fillId="0" borderId="21" xfId="0" applyNumberFormat="1" applyFont="1" applyBorder="1"/>
    <xf numFmtId="164" fontId="10" fillId="0" borderId="39" xfId="0" applyNumberFormat="1" applyFont="1" applyBorder="1"/>
    <xf numFmtId="164" fontId="10" fillId="0" borderId="20" xfId="0" applyNumberFormat="1" applyFont="1" applyBorder="1"/>
    <xf numFmtId="164" fontId="10" fillId="0" borderId="24" xfId="0" applyNumberFormat="1" applyFont="1" applyBorder="1"/>
    <xf numFmtId="164" fontId="10" fillId="0" borderId="41" xfId="0" applyNumberFormat="1" applyFont="1" applyBorder="1"/>
    <xf numFmtId="0" fontId="10" fillId="0" borderId="0" xfId="0" applyFont="1" applyBorder="1"/>
    <xf numFmtId="164" fontId="10" fillId="0" borderId="7" xfId="0" applyNumberFormat="1" applyFont="1" applyBorder="1"/>
    <xf numFmtId="164" fontId="10" fillId="0" borderId="18" xfId="0" applyNumberFormat="1" applyFont="1" applyBorder="1"/>
    <xf numFmtId="0" fontId="10" fillId="0" borderId="6" xfId="0" applyFont="1" applyBorder="1"/>
    <xf numFmtId="164" fontId="30" fillId="3" borderId="1" xfId="0" applyNumberFormat="1" applyFont="1" applyFill="1" applyBorder="1"/>
    <xf numFmtId="164" fontId="10" fillId="0" borderId="10" xfId="0" applyNumberFormat="1" applyFont="1" applyBorder="1"/>
    <xf numFmtId="164" fontId="10" fillId="3" borderId="1" xfId="0" applyNumberFormat="1" applyFont="1" applyFill="1" applyBorder="1"/>
    <xf numFmtId="164" fontId="10" fillId="2" borderId="7" xfId="0" applyNumberFormat="1" applyFont="1" applyFill="1" applyBorder="1"/>
    <xf numFmtId="0" fontId="23" fillId="0" borderId="0" xfId="0" applyFont="1" applyBorder="1" applyAlignment="1">
      <alignment horizontal="left" wrapText="1"/>
    </xf>
    <xf numFmtId="0" fontId="31" fillId="0" borderId="7" xfId="0" applyFont="1" applyBorder="1" applyAlignment="1">
      <alignment horizontal="center" wrapText="1"/>
    </xf>
    <xf numFmtId="0" fontId="8" fillId="4" borderId="1" xfId="0" applyFont="1" applyFill="1" applyBorder="1" applyAlignment="1">
      <alignment horizontal="right"/>
    </xf>
    <xf numFmtId="14" fontId="21" fillId="4" borderId="6" xfId="0" applyNumberFormat="1" applyFont="1" applyFill="1" applyBorder="1"/>
    <xf numFmtId="0" fontId="8" fillId="0" borderId="1" xfId="0" applyFont="1" applyBorder="1"/>
    <xf numFmtId="0" fontId="8" fillId="0" borderId="0" xfId="0" applyFont="1"/>
    <xf numFmtId="0" fontId="8" fillId="0" borderId="1" xfId="0" applyFont="1" applyBorder="1" applyAlignment="1">
      <alignment wrapText="1"/>
    </xf>
    <xf numFmtId="164" fontId="8" fillId="0" borderId="1" xfId="0" applyNumberFormat="1" applyFont="1" applyFill="1" applyBorder="1"/>
    <xf numFmtId="9" fontId="35" fillId="0" borderId="5" xfId="1" applyNumberFormat="1" applyFont="1" applyBorder="1"/>
    <xf numFmtId="0" fontId="7" fillId="8" borderId="1" xfId="0" applyFont="1" applyFill="1" applyBorder="1"/>
    <xf numFmtId="164" fontId="25" fillId="0" borderId="26" xfId="0" applyNumberFormat="1" applyFont="1" applyFill="1" applyBorder="1" applyAlignment="1"/>
    <xf numFmtId="164" fontId="60" fillId="0" borderId="26" xfId="0" applyNumberFormat="1" applyFont="1" applyFill="1" applyBorder="1" applyAlignment="1">
      <alignment horizontal="left"/>
    </xf>
    <xf numFmtId="0" fontId="6" fillId="0" borderId="1" xfId="0" applyFont="1" applyBorder="1" applyAlignment="1"/>
    <xf numFmtId="0" fontId="6" fillId="0" borderId="1" xfId="0" applyFont="1" applyBorder="1" applyAlignment="1">
      <alignment wrapText="1"/>
    </xf>
    <xf numFmtId="0" fontId="6" fillId="0" borderId="1" xfId="0" applyFont="1" applyFill="1" applyBorder="1" applyAlignment="1">
      <alignment wrapText="1"/>
    </xf>
    <xf numFmtId="0" fontId="5" fillId="4" borderId="1" xfId="0" applyFont="1" applyFill="1" applyBorder="1" applyAlignment="1">
      <alignment horizontal="right"/>
    </xf>
    <xf numFmtId="0" fontId="23" fillId="0" borderId="1" xfId="0" applyFont="1" applyBorder="1" applyAlignment="1">
      <alignment horizontal="center" wrapText="1"/>
    </xf>
    <xf numFmtId="0" fontId="23" fillId="0" borderId="1" xfId="0" applyFont="1" applyBorder="1" applyAlignment="1">
      <alignment horizontal="center" wrapText="1"/>
    </xf>
    <xf numFmtId="0" fontId="4" fillId="0" borderId="1" xfId="0" applyFont="1" applyBorder="1"/>
    <xf numFmtId="164" fontId="47" fillId="0" borderId="10" xfId="0" applyNumberFormat="1" applyFont="1" applyBorder="1"/>
    <xf numFmtId="164" fontId="47" fillId="0" borderId="5" xfId="0" applyNumberFormat="1" applyFont="1" applyBorder="1"/>
    <xf numFmtId="0" fontId="26" fillId="0" borderId="10" xfId="0" applyFont="1" applyBorder="1"/>
    <xf numFmtId="0" fontId="26" fillId="0" borderId="6" xfId="0" applyFont="1" applyBorder="1"/>
    <xf numFmtId="0" fontId="31" fillId="0" borderId="1" xfId="0" applyFont="1" applyBorder="1" applyAlignment="1">
      <alignment horizontal="center" wrapText="1"/>
    </xf>
    <xf numFmtId="0" fontId="61" fillId="0" borderId="0" xfId="0" applyFont="1"/>
    <xf numFmtId="0" fontId="62" fillId="0" borderId="0" xfId="0" applyFont="1"/>
    <xf numFmtId="164" fontId="3" fillId="3" borderId="1" xfId="0" applyNumberFormat="1" applyFont="1" applyFill="1" applyBorder="1"/>
    <xf numFmtId="0" fontId="23" fillId="0" borderId="0" xfId="0" applyFont="1" applyBorder="1" applyAlignment="1"/>
    <xf numFmtId="0" fontId="2" fillId="5" borderId="1" xfId="0" applyFont="1" applyFill="1" applyBorder="1" applyAlignment="1">
      <alignment vertical="center" wrapText="1"/>
    </xf>
    <xf numFmtId="0" fontId="2" fillId="0" borderId="1" xfId="0" applyFont="1" applyBorder="1" applyAlignment="1">
      <alignment horizontal="right"/>
    </xf>
    <xf numFmtId="0" fontId="2" fillId="0" borderId="1" xfId="0" applyFont="1" applyBorder="1" applyAlignment="1"/>
    <xf numFmtId="0" fontId="2" fillId="0" borderId="1" xfId="0" applyFont="1" applyBorder="1"/>
    <xf numFmtId="0" fontId="2" fillId="0" borderId="1" xfId="0" applyFont="1" applyBorder="1" applyAlignment="1">
      <alignment horizontal="right" wrapText="1"/>
    </xf>
    <xf numFmtId="0" fontId="2" fillId="0" borderId="1" xfId="0" applyFont="1" applyFill="1" applyBorder="1" applyAlignment="1">
      <alignment horizontal="right"/>
    </xf>
    <xf numFmtId="0" fontId="26" fillId="0" borderId="6" xfId="0" applyFont="1" applyFill="1" applyBorder="1" applyAlignment="1">
      <alignment vertical="center" wrapText="1"/>
    </xf>
    <xf numFmtId="164" fontId="35" fillId="0" borderId="1" xfId="0" applyNumberFormat="1" applyFont="1" applyBorder="1"/>
    <xf numFmtId="0" fontId="26" fillId="0" borderId="1" xfId="0" applyFont="1" applyFill="1" applyBorder="1" applyAlignment="1">
      <alignment vertical="center" wrapText="1"/>
    </xf>
    <xf numFmtId="0" fontId="26" fillId="0" borderId="6" xfId="0" applyFont="1" applyFill="1" applyBorder="1" applyAlignment="1">
      <alignment vertical="center"/>
    </xf>
    <xf numFmtId="0" fontId="31" fillId="0" borderId="0" xfId="0" applyFont="1" applyFill="1" applyBorder="1" applyAlignment="1">
      <alignment horizontal="left"/>
    </xf>
    <xf numFmtId="0" fontId="26" fillId="0" borderId="0" xfId="0" applyFont="1" applyFill="1" applyAlignment="1">
      <alignment horizontal="center"/>
    </xf>
    <xf numFmtId="0" fontId="26" fillId="3" borderId="1" xfId="0" applyFont="1" applyFill="1" applyBorder="1" applyAlignment="1">
      <alignment horizontal="right"/>
    </xf>
    <xf numFmtId="9" fontId="26" fillId="3" borderId="1" xfId="1" applyFont="1" applyFill="1" applyBorder="1"/>
    <xf numFmtId="9" fontId="26" fillId="2" borderId="1" xfId="1" applyFont="1" applyFill="1" applyBorder="1"/>
    <xf numFmtId="164" fontId="35" fillId="0" borderId="5" xfId="0" applyNumberFormat="1" applyFont="1" applyBorder="1"/>
    <xf numFmtId="164" fontId="51" fillId="0" borderId="0" xfId="0" applyNumberFormat="1" applyFont="1"/>
    <xf numFmtId="164" fontId="35" fillId="0" borderId="7" xfId="0" applyNumberFormat="1" applyFont="1" applyBorder="1"/>
    <xf numFmtId="0" fontId="26" fillId="0" borderId="1" xfId="0" applyFont="1" applyFill="1" applyBorder="1" applyAlignment="1">
      <alignment horizontal="center" wrapText="1"/>
    </xf>
    <xf numFmtId="0" fontId="26" fillId="0" borderId="0" xfId="0" applyFont="1" applyFill="1" applyBorder="1"/>
    <xf numFmtId="0" fontId="26" fillId="0" borderId="1" xfId="0" applyFont="1" applyBorder="1" applyAlignment="1"/>
    <xf numFmtId="0" fontId="26" fillId="2" borderId="1" xfId="0" applyFont="1" applyFill="1" applyBorder="1"/>
    <xf numFmtId="164" fontId="26" fillId="0" borderId="1" xfId="0" applyNumberFormat="1" applyFont="1" applyBorder="1"/>
    <xf numFmtId="0" fontId="26" fillId="0" borderId="1" xfId="0" applyFont="1" applyBorder="1" applyAlignment="1">
      <alignment wrapText="1"/>
    </xf>
    <xf numFmtId="0" fontId="26" fillId="0" borderId="0" xfId="0" applyFont="1" applyFill="1" applyBorder="1" applyAlignment="1">
      <alignment horizontal="left" wrapText="1"/>
    </xf>
    <xf numFmtId="0" fontId="2" fillId="0" borderId="1" xfId="0" applyFont="1" applyFill="1" applyBorder="1"/>
    <xf numFmtId="0" fontId="2" fillId="0" borderId="1" xfId="0" applyFont="1" applyFill="1" applyBorder="1" applyAlignment="1">
      <alignment wrapText="1"/>
    </xf>
    <xf numFmtId="0" fontId="63" fillId="0" borderId="0" xfId="0" applyFont="1"/>
    <xf numFmtId="0" fontId="49" fillId="0" borderId="0" xfId="0" applyFont="1"/>
    <xf numFmtId="1" fontId="26" fillId="3" borderId="1" xfId="0" applyNumberFormat="1" applyFont="1" applyFill="1" applyBorder="1"/>
    <xf numFmtId="0" fontId="53" fillId="0" borderId="0" xfId="0" applyFont="1" applyFill="1"/>
    <xf numFmtId="0" fontId="31" fillId="0" borderId="0" xfId="0" applyFont="1" applyFill="1" applyBorder="1" applyAlignment="1"/>
    <xf numFmtId="0" fontId="26" fillId="0" borderId="0" xfId="0" applyFont="1" applyFill="1" applyBorder="1" applyAlignment="1"/>
    <xf numFmtId="9" fontId="26" fillId="0" borderId="0" xfId="0" applyNumberFormat="1" applyFont="1" applyFill="1" applyBorder="1"/>
    <xf numFmtId="9" fontId="26" fillId="3" borderId="1" xfId="0" applyNumberFormat="1" applyFont="1" applyFill="1" applyBorder="1"/>
    <xf numFmtId="0" fontId="31" fillId="0" borderId="1" xfId="0" applyFont="1" applyBorder="1" applyAlignment="1"/>
    <xf numFmtId="0" fontId="26" fillId="0" borderId="1" xfId="0" applyFont="1" applyFill="1" applyBorder="1" applyAlignment="1"/>
    <xf numFmtId="9" fontId="26" fillId="3" borderId="8" xfId="1" applyFont="1" applyFill="1" applyBorder="1" applyAlignment="1">
      <alignment horizontal="right"/>
    </xf>
    <xf numFmtId="9" fontId="26" fillId="3" borderId="9" xfId="1" applyFont="1" applyFill="1" applyBorder="1" applyAlignment="1">
      <alignment horizontal="right"/>
    </xf>
    <xf numFmtId="9" fontId="26" fillId="3" borderId="4" xfId="1" applyFont="1" applyFill="1" applyBorder="1" applyAlignment="1">
      <alignment horizontal="right"/>
    </xf>
    <xf numFmtId="9" fontId="26" fillId="3" borderId="1" xfId="1" applyFont="1" applyFill="1" applyBorder="1" applyAlignment="1">
      <alignment horizontal="right"/>
    </xf>
    <xf numFmtId="9" fontId="26" fillId="6" borderId="8" xfId="1" applyFont="1" applyFill="1" applyBorder="1" applyAlignment="1">
      <alignment horizontal="right"/>
    </xf>
    <xf numFmtId="9" fontId="26" fillId="6" borderId="9" xfId="1" applyFont="1" applyFill="1" applyBorder="1" applyAlignment="1">
      <alignment horizontal="right"/>
    </xf>
    <xf numFmtId="9" fontId="26" fillId="0" borderId="8" xfId="0" applyNumberFormat="1" applyFont="1" applyBorder="1" applyAlignment="1">
      <alignment horizontal="right"/>
    </xf>
    <xf numFmtId="9" fontId="26" fillId="0" borderId="9" xfId="0" applyNumberFormat="1" applyFont="1" applyBorder="1" applyAlignment="1">
      <alignment horizontal="right"/>
    </xf>
    <xf numFmtId="0" fontId="26" fillId="0" borderId="17" xfId="0" applyFont="1" applyBorder="1"/>
    <xf numFmtId="0" fontId="31" fillId="0" borderId="17" xfId="0" applyFont="1" applyFill="1" applyBorder="1" applyAlignment="1">
      <alignment vertical="center"/>
    </xf>
    <xf numFmtId="0" fontId="31" fillId="0" borderId="17" xfId="0" applyFont="1" applyFill="1" applyBorder="1" applyAlignment="1">
      <alignment horizontal="right" vertical="center"/>
    </xf>
    <xf numFmtId="0" fontId="31" fillId="0" borderId="13" xfId="0" applyFont="1" applyFill="1" applyBorder="1" applyAlignment="1"/>
    <xf numFmtId="0" fontId="26" fillId="0" borderId="0" xfId="0" applyFont="1" applyBorder="1"/>
    <xf numFmtId="0" fontId="26" fillId="0" borderId="2" xfId="0" applyFont="1" applyFill="1" applyBorder="1" applyAlignment="1">
      <alignment horizontal="right"/>
    </xf>
    <xf numFmtId="0" fontId="26" fillId="0" borderId="21" xfId="0" applyFont="1" applyFill="1" applyBorder="1" applyAlignment="1">
      <alignment horizontal="right"/>
    </xf>
    <xf numFmtId="0" fontId="35" fillId="0" borderId="20" xfId="0" applyFont="1" applyBorder="1" applyAlignment="1">
      <alignment horizontal="right"/>
    </xf>
    <xf numFmtId="1" fontId="35" fillId="0" borderId="7" xfId="0" applyNumberFormat="1" applyFont="1" applyFill="1" applyBorder="1"/>
    <xf numFmtId="1" fontId="35" fillId="0" borderId="18" xfId="0" applyNumberFormat="1" applyFont="1" applyFill="1" applyBorder="1"/>
    <xf numFmtId="1" fontId="35" fillId="0" borderId="68" xfId="0" applyNumberFormat="1" applyFont="1" applyFill="1" applyBorder="1"/>
    <xf numFmtId="0" fontId="31" fillId="0" borderId="1" xfId="0" applyFont="1" applyFill="1" applyBorder="1" applyAlignment="1">
      <alignment horizontal="right" vertical="center"/>
    </xf>
    <xf numFmtId="0" fontId="35" fillId="0" borderId="0" xfId="0" applyFont="1" applyAlignment="1">
      <alignment horizontal="right"/>
    </xf>
    <xf numFmtId="1" fontId="35" fillId="0" borderId="20" xfId="0" applyNumberFormat="1" applyFont="1" applyFill="1" applyBorder="1"/>
    <xf numFmtId="1" fontId="35" fillId="0" borderId="24" xfId="0" applyNumberFormat="1" applyFont="1" applyFill="1" applyBorder="1"/>
    <xf numFmtId="1" fontId="35" fillId="0" borderId="41" xfId="0" applyNumberFormat="1" applyFont="1" applyFill="1" applyBorder="1"/>
    <xf numFmtId="1" fontId="26" fillId="2" borderId="1" xfId="0" applyNumberFormat="1" applyFont="1" applyFill="1" applyBorder="1"/>
    <xf numFmtId="1" fontId="26" fillId="2" borderId="8" xfId="0" applyNumberFormat="1" applyFont="1" applyFill="1" applyBorder="1"/>
    <xf numFmtId="1" fontId="26" fillId="3" borderId="2" xfId="0" applyNumberFormat="1" applyFont="1" applyFill="1" applyBorder="1"/>
    <xf numFmtId="1" fontId="26" fillId="2" borderId="5" xfId="0" applyNumberFormat="1" applyFont="1" applyFill="1" applyBorder="1"/>
    <xf numFmtId="1" fontId="26" fillId="3" borderId="5" xfId="0" applyNumberFormat="1" applyFont="1" applyFill="1" applyBorder="1"/>
    <xf numFmtId="1" fontId="26" fillId="3" borderId="21" xfId="0" applyNumberFormat="1" applyFont="1" applyFill="1" applyBorder="1"/>
    <xf numFmtId="1" fontId="26" fillId="2" borderId="39" xfId="0" applyNumberFormat="1" applyFont="1" applyFill="1" applyBorder="1"/>
    <xf numFmtId="1" fontId="35" fillId="2" borderId="7" xfId="0" applyNumberFormat="1" applyFont="1" applyFill="1" applyBorder="1"/>
    <xf numFmtId="1" fontId="35" fillId="2" borderId="68" xfId="0" applyNumberFormat="1" applyFont="1" applyFill="1" applyBorder="1"/>
    <xf numFmtId="0" fontId="26" fillId="0" borderId="5" xfId="0" applyFont="1" applyFill="1" applyBorder="1" applyAlignment="1">
      <alignment horizontal="right"/>
    </xf>
    <xf numFmtId="0" fontId="35" fillId="0" borderId="7" xfId="0" applyFont="1" applyBorder="1" applyAlignment="1">
      <alignment horizontal="right"/>
    </xf>
    <xf numFmtId="44" fontId="26" fillId="0" borderId="0" xfId="2" applyFont="1"/>
    <xf numFmtId="44" fontId="26" fillId="0" borderId="0" xfId="0" applyNumberFormat="1" applyFont="1"/>
    <xf numFmtId="0" fontId="31" fillId="0" borderId="0" xfId="0" applyFont="1"/>
    <xf numFmtId="0" fontId="26" fillId="0" borderId="1" xfId="0" applyFont="1" applyBorder="1" applyAlignment="1">
      <alignment horizontal="center"/>
    </xf>
    <xf numFmtId="0" fontId="26" fillId="0" borderId="1" xfId="0" applyFont="1" applyFill="1" applyBorder="1" applyAlignment="1">
      <alignment horizontal="center" vertical="center" wrapText="1"/>
    </xf>
    <xf numFmtId="1" fontId="35" fillId="2" borderId="1" xfId="0" applyNumberFormat="1" applyFont="1" applyFill="1" applyBorder="1"/>
    <xf numFmtId="0" fontId="26" fillId="0" borderId="6" xfId="0" applyFont="1" applyFill="1" applyBorder="1" applyAlignment="1">
      <alignment horizontal="center" vertical="center"/>
    </xf>
    <xf numFmtId="0" fontId="35" fillId="0" borderId="0" xfId="0" applyFont="1" applyFill="1" applyBorder="1" applyAlignment="1">
      <alignment horizontal="left" vertical="center"/>
    </xf>
    <xf numFmtId="0" fontId="2" fillId="0" borderId="1" xfId="0" applyFont="1" applyFill="1" applyBorder="1" applyAlignment="1">
      <alignment horizontal="right" wrapText="1"/>
    </xf>
    <xf numFmtId="9" fontId="31" fillId="0" borderId="0" xfId="0" applyNumberFormat="1" applyFont="1" applyBorder="1" applyAlignment="1">
      <alignment wrapText="1"/>
    </xf>
    <xf numFmtId="0" fontId="31" fillId="0" borderId="0" xfId="0" applyFont="1" applyBorder="1" applyAlignment="1">
      <alignment wrapText="1"/>
    </xf>
    <xf numFmtId="0" fontId="26" fillId="0" borderId="0" xfId="0" applyFont="1" applyBorder="1" applyAlignment="1"/>
    <xf numFmtId="0" fontId="26" fillId="0" borderId="2" xfId="0" applyFont="1" applyFill="1" applyBorder="1" applyAlignment="1"/>
    <xf numFmtId="164" fontId="35" fillId="0" borderId="6" xfId="0" applyNumberFormat="1" applyFont="1" applyFill="1" applyBorder="1"/>
    <xf numFmtId="164" fontId="35" fillId="0" borderId="6" xfId="0" applyNumberFormat="1" applyFont="1" applyBorder="1"/>
    <xf numFmtId="164" fontId="26" fillId="0" borderId="0" xfId="0" applyNumberFormat="1" applyFont="1" applyFill="1"/>
    <xf numFmtId="165" fontId="26" fillId="0" borderId="0" xfId="0" applyNumberFormat="1" applyFont="1" applyFill="1"/>
    <xf numFmtId="0" fontId="31" fillId="0" borderId="1" xfId="0" applyFont="1" applyBorder="1" applyAlignment="1">
      <alignment horizontal="center" wrapText="1"/>
    </xf>
    <xf numFmtId="0" fontId="31" fillId="0" borderId="1" xfId="0" applyFont="1" applyBorder="1" applyAlignment="1">
      <alignment horizontal="center"/>
    </xf>
    <xf numFmtId="0" fontId="1" fillId="0" borderId="1" xfId="0" applyFont="1" applyFill="1" applyBorder="1"/>
    <xf numFmtId="0" fontId="1" fillId="0" borderId="2" xfId="0" applyFont="1" applyFill="1" applyBorder="1" applyAlignment="1">
      <alignment horizontal="left"/>
    </xf>
    <xf numFmtId="0" fontId="1" fillId="0" borderId="1" xfId="0" applyFont="1" applyFill="1" applyBorder="1" applyAlignment="1">
      <alignment wrapText="1"/>
    </xf>
    <xf numFmtId="0" fontId="1" fillId="0" borderId="1" xfId="0" applyFont="1" applyBorder="1" applyAlignment="1">
      <alignment horizontal="left" wrapText="1"/>
    </xf>
    <xf numFmtId="0" fontId="1" fillId="7" borderId="1" xfId="0" applyFont="1" applyFill="1" applyBorder="1" applyAlignment="1">
      <alignment vertical="center" wrapText="1"/>
    </xf>
    <xf numFmtId="0" fontId="1" fillId="8" borderId="1" xfId="0" applyFont="1" applyFill="1" applyBorder="1"/>
    <xf numFmtId="164" fontId="35" fillId="0" borderId="20" xfId="0" applyNumberFormat="1" applyFont="1" applyBorder="1"/>
    <xf numFmtId="0" fontId="30" fillId="0" borderId="20" xfId="0" applyFont="1" applyBorder="1"/>
    <xf numFmtId="0" fontId="1" fillId="0" borderId="1" xfId="0" applyFont="1" applyBorder="1" applyAlignment="1">
      <alignment horizontal="right"/>
    </xf>
    <xf numFmtId="164" fontId="50" fillId="0" borderId="0" xfId="0" applyNumberFormat="1" applyFont="1" applyFill="1" applyAlignment="1"/>
    <xf numFmtId="0" fontId="1" fillId="0" borderId="1" xfId="0" applyFont="1" applyBorder="1"/>
    <xf numFmtId="164" fontId="1" fillId="4" borderId="1" xfId="0" applyNumberFormat="1" applyFont="1" applyFill="1" applyBorder="1"/>
    <xf numFmtId="164" fontId="30" fillId="0" borderId="7" xfId="0" applyNumberFormat="1" applyFont="1" applyFill="1" applyBorder="1"/>
    <xf numFmtId="9" fontId="30" fillId="0" borderId="1" xfId="1" applyFont="1" applyBorder="1"/>
    <xf numFmtId="0" fontId="1" fillId="0" borderId="0" xfId="0" applyFont="1"/>
    <xf numFmtId="0" fontId="1" fillId="5" borderId="1" xfId="0" applyFont="1" applyFill="1" applyBorder="1" applyAlignment="1">
      <alignment vertical="center"/>
    </xf>
    <xf numFmtId="0" fontId="65" fillId="0" borderId="0" xfId="0" applyFont="1"/>
    <xf numFmtId="0" fontId="67" fillId="0" borderId="0" xfId="0" applyFont="1"/>
    <xf numFmtId="0" fontId="26" fillId="0" borderId="1" xfId="0" applyFont="1" applyFill="1" applyBorder="1" applyAlignment="1">
      <alignment horizontal="left" vertical="center" wrapText="1"/>
    </xf>
    <xf numFmtId="0" fontId="1" fillId="0" borderId="1" xfId="0" applyFont="1" applyBorder="1" applyAlignment="1">
      <alignment horizontal="right" wrapText="1"/>
    </xf>
    <xf numFmtId="0" fontId="30" fillId="0" borderId="0" xfId="0" applyFont="1" applyFill="1" applyBorder="1" applyAlignment="1">
      <alignment horizontal="left"/>
    </xf>
    <xf numFmtId="0" fontId="70" fillId="0" borderId="0" xfId="0" applyFont="1"/>
    <xf numFmtId="0" fontId="31" fillId="0" borderId="1" xfId="0" applyFont="1" applyBorder="1" applyAlignment="1">
      <alignment horizontal="center"/>
    </xf>
    <xf numFmtId="0" fontId="68" fillId="0" borderId="0" xfId="0" applyFont="1" applyAlignment="1"/>
    <xf numFmtId="164" fontId="1" fillId="0" borderId="1" xfId="0" applyNumberFormat="1" applyFont="1" applyBorder="1"/>
    <xf numFmtId="164" fontId="1" fillId="0" borderId="5" xfId="0" applyNumberFormat="1" applyFont="1" applyBorder="1"/>
    <xf numFmtId="164" fontId="1" fillId="0" borderId="7" xfId="0" applyNumberFormat="1" applyFont="1" applyBorder="1"/>
    <xf numFmtId="0" fontId="68" fillId="0" borderId="0" xfId="0" applyFont="1" applyAlignment="1">
      <alignment horizontal="left"/>
    </xf>
    <xf numFmtId="170" fontId="69" fillId="0" borderId="0" xfId="0" applyNumberFormat="1" applyFont="1" applyAlignment="1">
      <alignment horizontal="center"/>
    </xf>
    <xf numFmtId="0" fontId="69" fillId="0" borderId="0" xfId="0" applyFont="1" applyAlignment="1">
      <alignment horizontal="center"/>
    </xf>
    <xf numFmtId="0" fontId="66" fillId="0" borderId="0" xfId="0" applyFont="1" applyAlignment="1">
      <alignment horizontal="left" vertical="center" wrapText="1"/>
    </xf>
    <xf numFmtId="0" fontId="21" fillId="4" borderId="1" xfId="0" applyFont="1" applyFill="1" applyBorder="1" applyAlignment="1">
      <alignment horizontal="left" vertical="center"/>
    </xf>
    <xf numFmtId="0" fontId="21" fillId="5" borderId="1" xfId="0" applyFont="1" applyFill="1" applyBorder="1" applyAlignment="1">
      <alignment horizontal="left" vertical="center"/>
    </xf>
    <xf numFmtId="0" fontId="17" fillId="8" borderId="6" xfId="0" applyFont="1" applyFill="1" applyBorder="1" applyAlignment="1">
      <alignment horizontal="center" vertical="center"/>
    </xf>
    <xf numFmtId="0" fontId="17" fillId="8" borderId="10" xfId="0" applyFont="1" applyFill="1" applyBorder="1" applyAlignment="1">
      <alignment horizontal="center" vertical="center"/>
    </xf>
    <xf numFmtId="0" fontId="21" fillId="7" borderId="6" xfId="0" applyFont="1" applyFill="1" applyBorder="1" applyAlignment="1">
      <alignment horizontal="left" vertical="center"/>
    </xf>
    <xf numFmtId="0" fontId="21" fillId="7" borderId="10" xfId="0" applyFont="1" applyFill="1" applyBorder="1" applyAlignment="1">
      <alignment horizontal="left" vertical="center"/>
    </xf>
    <xf numFmtId="9" fontId="47" fillId="0" borderId="0" xfId="0" applyNumberFormat="1" applyFont="1" applyAlignment="1">
      <alignment horizontal="center" vertical="center"/>
    </xf>
    <xf numFmtId="0" fontId="47" fillId="0" borderId="0" xfId="0" applyFont="1" applyAlignment="1">
      <alignment horizontal="center" vertical="center"/>
    </xf>
    <xf numFmtId="0" fontId="29" fillId="0" borderId="1" xfId="0" applyFont="1" applyBorder="1" applyAlignment="1">
      <alignment horizontal="center"/>
    </xf>
    <xf numFmtId="0" fontId="21" fillId="4" borderId="1" xfId="0" applyFont="1" applyFill="1" applyBorder="1" applyAlignment="1">
      <alignment horizontal="center"/>
    </xf>
    <xf numFmtId="0" fontId="30" fillId="0" borderId="1" xfId="0" applyFont="1" applyFill="1" applyBorder="1" applyAlignment="1">
      <alignment horizontal="center"/>
    </xf>
    <xf numFmtId="0" fontId="47" fillId="0" borderId="2" xfId="0" applyFont="1" applyBorder="1" applyAlignment="1">
      <alignment horizontal="left"/>
    </xf>
    <xf numFmtId="0" fontId="47" fillId="0" borderId="3" xfId="0" applyFont="1" applyBorder="1" applyAlignment="1">
      <alignment horizontal="left"/>
    </xf>
    <xf numFmtId="0" fontId="47" fillId="0" borderId="4" xfId="0" applyFont="1" applyBorder="1" applyAlignment="1">
      <alignment horizontal="left"/>
    </xf>
    <xf numFmtId="0" fontId="47" fillId="0" borderId="21" xfId="0" applyFont="1" applyBorder="1" applyAlignment="1">
      <alignment horizontal="left"/>
    </xf>
    <xf numFmtId="0" fontId="47" fillId="0" borderId="22" xfId="0" applyFont="1" applyBorder="1" applyAlignment="1">
      <alignment horizontal="left"/>
    </xf>
    <xf numFmtId="0" fontId="47" fillId="0" borderId="23" xfId="0" applyFont="1" applyBorder="1" applyAlignment="1">
      <alignment horizontal="left"/>
    </xf>
    <xf numFmtId="0" fontId="48" fillId="0" borderId="24" xfId="0" applyFont="1" applyBorder="1" applyAlignment="1">
      <alignment horizontal="left"/>
    </xf>
    <xf numFmtId="0" fontId="48" fillId="0" borderId="69" xfId="0" applyFont="1" applyBorder="1" applyAlignment="1">
      <alignment horizontal="left"/>
    </xf>
    <xf numFmtId="0" fontId="48" fillId="0" borderId="25" xfId="0" applyFont="1" applyBorder="1" applyAlignment="1">
      <alignment horizontal="left"/>
    </xf>
    <xf numFmtId="0" fontId="55" fillId="0" borderId="21" xfId="0" applyFont="1" applyBorder="1" applyAlignment="1">
      <alignment horizontal="left"/>
    </xf>
    <xf numFmtId="0" fontId="55" fillId="0" borderId="22" xfId="0" applyFont="1" applyBorder="1" applyAlignment="1">
      <alignment horizontal="left"/>
    </xf>
    <xf numFmtId="0" fontId="55" fillId="0" borderId="23" xfId="0" applyFont="1" applyBorder="1" applyAlignment="1">
      <alignment horizontal="left"/>
    </xf>
    <xf numFmtId="0" fontId="47" fillId="0" borderId="74" xfId="0" applyFont="1" applyBorder="1" applyAlignment="1">
      <alignment horizontal="left"/>
    </xf>
    <xf numFmtId="0" fontId="47" fillId="0" borderId="75" xfId="0" applyFont="1" applyBorder="1" applyAlignment="1">
      <alignment horizontal="left"/>
    </xf>
    <xf numFmtId="0" fontId="47" fillId="0" borderId="76" xfId="0" applyFont="1" applyBorder="1" applyAlignment="1">
      <alignment horizontal="left"/>
    </xf>
    <xf numFmtId="164" fontId="21" fillId="4" borderId="6" xfId="0" applyNumberFormat="1" applyFont="1" applyFill="1" applyBorder="1" applyAlignment="1">
      <alignment horizontal="right" vertical="center"/>
    </xf>
    <xf numFmtId="164" fontId="21" fillId="4" borderId="10" xfId="0" applyNumberFormat="1" applyFont="1" applyFill="1" applyBorder="1" applyAlignment="1">
      <alignment horizontal="right" vertical="center"/>
    </xf>
    <xf numFmtId="164" fontId="21" fillId="4" borderId="7" xfId="0" applyNumberFormat="1" applyFont="1" applyFill="1" applyBorder="1" applyAlignment="1">
      <alignment horizontal="right" vertical="center"/>
    </xf>
    <xf numFmtId="0" fontId="8" fillId="4" borderId="6" xfId="0" applyFont="1" applyFill="1" applyBorder="1" applyAlignment="1">
      <alignment horizontal="center" vertical="center" wrapText="1"/>
    </xf>
    <xf numFmtId="0" fontId="8" fillId="4" borderId="10" xfId="0" applyFont="1" applyFill="1" applyBorder="1" applyAlignment="1">
      <alignment horizontal="center" vertical="center" wrapText="1"/>
    </xf>
    <xf numFmtId="0" fontId="8" fillId="4" borderId="7" xfId="0" applyFont="1" applyFill="1" applyBorder="1" applyAlignment="1">
      <alignment horizontal="center" vertical="center" wrapText="1"/>
    </xf>
    <xf numFmtId="0" fontId="21" fillId="4" borderId="6" xfId="0" applyFont="1" applyFill="1" applyBorder="1" applyAlignment="1">
      <alignment horizontal="center" vertical="center" wrapText="1"/>
    </xf>
    <xf numFmtId="0" fontId="21" fillId="4" borderId="10" xfId="0" applyFont="1" applyFill="1" applyBorder="1" applyAlignment="1">
      <alignment horizontal="center" vertical="center" wrapText="1"/>
    </xf>
    <xf numFmtId="0" fontId="21" fillId="4" borderId="7" xfId="0" applyFont="1" applyFill="1" applyBorder="1" applyAlignment="1">
      <alignment horizontal="center" vertical="center" wrapText="1"/>
    </xf>
    <xf numFmtId="0" fontId="18" fillId="0" borderId="1" xfId="0" applyFont="1" applyBorder="1" applyAlignment="1">
      <alignment horizontal="center"/>
    </xf>
    <xf numFmtId="0" fontId="21" fillId="0" borderId="1" xfId="0" applyFont="1" applyBorder="1" applyAlignment="1">
      <alignment horizontal="center"/>
    </xf>
    <xf numFmtId="0" fontId="18" fillId="0" borderId="2" xfId="0" applyFont="1" applyBorder="1" applyAlignment="1">
      <alignment horizontal="center"/>
    </xf>
    <xf numFmtId="0" fontId="21" fillId="0" borderId="4" xfId="0" applyFont="1" applyBorder="1" applyAlignment="1">
      <alignment horizontal="center"/>
    </xf>
    <xf numFmtId="0" fontId="21" fillId="0" borderId="2" xfId="0" applyFont="1" applyBorder="1" applyAlignment="1">
      <alignment horizontal="center"/>
    </xf>
    <xf numFmtId="0" fontId="30" fillId="0" borderId="0" xfId="0" applyFont="1" applyAlignment="1">
      <alignment horizontal="left" wrapText="1"/>
    </xf>
    <xf numFmtId="0" fontId="35" fillId="0" borderId="0" xfId="0" applyFont="1" applyBorder="1" applyAlignment="1">
      <alignment horizontal="left" wrapText="1"/>
    </xf>
    <xf numFmtId="0" fontId="21" fillId="4" borderId="2" xfId="0" applyFont="1" applyFill="1" applyBorder="1" applyAlignment="1">
      <alignment horizontal="center"/>
    </xf>
    <xf numFmtId="0" fontId="21" fillId="4" borderId="4" xfId="0" applyFont="1" applyFill="1" applyBorder="1" applyAlignment="1">
      <alignment horizontal="center"/>
    </xf>
    <xf numFmtId="0" fontId="21" fillId="0" borderId="2" xfId="0" applyFont="1" applyBorder="1" applyAlignment="1">
      <alignment horizontal="center" wrapText="1"/>
    </xf>
    <xf numFmtId="0" fontId="21" fillId="0" borderId="4" xfId="0" applyFont="1" applyBorder="1" applyAlignment="1">
      <alignment horizontal="center" wrapText="1"/>
    </xf>
    <xf numFmtId="0" fontId="26" fillId="0" borderId="2" xfId="0" applyFont="1" applyBorder="1" applyAlignment="1">
      <alignment horizontal="center"/>
    </xf>
    <xf numFmtId="0" fontId="26" fillId="0" borderId="4" xfId="0" applyFont="1" applyBorder="1" applyAlignment="1">
      <alignment horizontal="center"/>
    </xf>
    <xf numFmtId="0" fontId="16" fillId="0" borderId="2" xfId="0" applyFont="1" applyBorder="1" applyAlignment="1">
      <alignment horizontal="center" wrapText="1"/>
    </xf>
    <xf numFmtId="0" fontId="18" fillId="0" borderId="2" xfId="0" applyFont="1" applyBorder="1" applyAlignment="1">
      <alignment horizontal="center" wrapText="1"/>
    </xf>
    <xf numFmtId="0" fontId="15" fillId="0" borderId="2" xfId="0" applyFont="1" applyBorder="1" applyAlignment="1">
      <alignment horizontal="center" wrapText="1"/>
    </xf>
    <xf numFmtId="164" fontId="21" fillId="4" borderId="6" xfId="0" applyNumberFormat="1" applyFont="1" applyFill="1" applyBorder="1" applyAlignment="1">
      <alignment horizontal="right" vertical="center" wrapText="1"/>
    </xf>
    <xf numFmtId="164" fontId="21" fillId="4" borderId="10" xfId="0" applyNumberFormat="1" applyFont="1" applyFill="1" applyBorder="1" applyAlignment="1">
      <alignment horizontal="right" vertical="center" wrapText="1"/>
    </xf>
    <xf numFmtId="164" fontId="21" fillId="4" borderId="7" xfId="0" applyNumberFormat="1" applyFont="1" applyFill="1" applyBorder="1" applyAlignment="1">
      <alignment horizontal="right" vertical="center" wrapText="1"/>
    </xf>
    <xf numFmtId="0" fontId="21" fillId="4" borderId="6" xfId="0" applyFont="1" applyFill="1" applyBorder="1" applyAlignment="1">
      <alignment horizontal="center" vertical="center"/>
    </xf>
    <xf numFmtId="0" fontId="21" fillId="4" borderId="10" xfId="0" applyFont="1" applyFill="1" applyBorder="1" applyAlignment="1">
      <alignment horizontal="center" vertical="center"/>
    </xf>
    <xf numFmtId="0" fontId="21" fillId="4" borderId="7" xfId="0" applyFont="1" applyFill="1" applyBorder="1" applyAlignment="1">
      <alignment horizontal="center" vertical="center"/>
    </xf>
    <xf numFmtId="0" fontId="30" fillId="0" borderId="26" xfId="0" applyFont="1" applyBorder="1" applyAlignment="1">
      <alignment horizontal="left" wrapText="1"/>
    </xf>
    <xf numFmtId="0" fontId="23" fillId="0" borderId="2" xfId="0" applyFont="1" applyBorder="1" applyAlignment="1">
      <alignment horizontal="center"/>
    </xf>
    <xf numFmtId="0" fontId="23" fillId="0" borderId="4" xfId="0" applyFont="1" applyBorder="1" applyAlignment="1">
      <alignment horizontal="center"/>
    </xf>
    <xf numFmtId="0" fontId="21" fillId="3" borderId="6" xfId="0" applyFont="1" applyFill="1" applyBorder="1" applyAlignment="1">
      <alignment horizontal="center" vertical="center"/>
    </xf>
    <xf numFmtId="0" fontId="21" fillId="3" borderId="10" xfId="0" applyFont="1" applyFill="1" applyBorder="1" applyAlignment="1">
      <alignment horizontal="center" vertical="center"/>
    </xf>
    <xf numFmtId="0" fontId="21" fillId="3" borderId="7" xfId="0" applyFont="1" applyFill="1" applyBorder="1" applyAlignment="1">
      <alignment horizontal="center" vertical="center"/>
    </xf>
    <xf numFmtId="0" fontId="9" fillId="0" borderId="6" xfId="0" applyFont="1" applyFill="1" applyBorder="1" applyAlignment="1">
      <alignment horizontal="center" vertical="center" wrapText="1"/>
    </xf>
    <xf numFmtId="0" fontId="9" fillId="0" borderId="10" xfId="0" applyFont="1" applyFill="1" applyBorder="1" applyAlignment="1">
      <alignment horizontal="center" vertical="center" wrapText="1"/>
    </xf>
    <xf numFmtId="0" fontId="9" fillId="0" borderId="7" xfId="0" applyFont="1" applyFill="1" applyBorder="1" applyAlignment="1">
      <alignment horizontal="center" vertical="center" wrapText="1"/>
    </xf>
    <xf numFmtId="0" fontId="21" fillId="0" borderId="2" xfId="0" applyFont="1" applyFill="1" applyBorder="1" applyAlignment="1">
      <alignment horizontal="center" wrapText="1"/>
    </xf>
    <xf numFmtId="0" fontId="21" fillId="0" borderId="4" xfId="0" applyFont="1" applyFill="1" applyBorder="1" applyAlignment="1">
      <alignment horizontal="center" wrapText="1"/>
    </xf>
    <xf numFmtId="0" fontId="21" fillId="4" borderId="3" xfId="0" applyFont="1" applyFill="1" applyBorder="1" applyAlignment="1">
      <alignment horizontal="center"/>
    </xf>
    <xf numFmtId="0" fontId="30" fillId="0" borderId="2" xfId="0" applyFont="1" applyFill="1" applyBorder="1" applyAlignment="1">
      <alignment horizontal="center"/>
    </xf>
    <xf numFmtId="0" fontId="30" fillId="0" borderId="3" xfId="0" applyFont="1" applyFill="1" applyBorder="1" applyAlignment="1">
      <alignment horizontal="center"/>
    </xf>
    <xf numFmtId="0" fontId="30" fillId="0" borderId="4" xfId="0" applyFont="1" applyFill="1" applyBorder="1" applyAlignment="1">
      <alignment horizontal="center"/>
    </xf>
    <xf numFmtId="0" fontId="21" fillId="3" borderId="1" xfId="0" applyFont="1" applyFill="1" applyBorder="1" applyAlignment="1">
      <alignment horizontal="center"/>
    </xf>
    <xf numFmtId="0" fontId="30" fillId="0" borderId="0" xfId="0" applyFont="1" applyFill="1" applyAlignment="1">
      <alignment horizontal="left" vertical="top" wrapText="1"/>
    </xf>
    <xf numFmtId="0" fontId="23" fillId="0" borderId="1" xfId="0" applyFont="1" applyFill="1" applyBorder="1" applyAlignment="1">
      <alignment horizontal="center"/>
    </xf>
    <xf numFmtId="0" fontId="23" fillId="0" borderId="1" xfId="0" applyFont="1" applyFill="1" applyBorder="1" applyAlignment="1">
      <alignment horizontal="center" wrapText="1"/>
    </xf>
    <xf numFmtId="0" fontId="30" fillId="0" borderId="26" xfId="0" applyFont="1" applyFill="1" applyBorder="1" applyAlignment="1">
      <alignment horizontal="left" vertical="top" wrapText="1"/>
    </xf>
    <xf numFmtId="0" fontId="21" fillId="0" borderId="2" xfId="0" applyFont="1" applyFill="1" applyBorder="1" applyAlignment="1">
      <alignment horizontal="left"/>
    </xf>
    <xf numFmtId="0" fontId="21" fillId="0" borderId="4" xfId="0" applyFont="1" applyFill="1" applyBorder="1" applyAlignment="1">
      <alignment horizontal="left"/>
    </xf>
    <xf numFmtId="0" fontId="21" fillId="0" borderId="1" xfId="0" applyFont="1" applyFill="1" applyBorder="1" applyAlignment="1">
      <alignment horizontal="left" vertical="top" wrapText="1"/>
    </xf>
    <xf numFmtId="0" fontId="21" fillId="0" borderId="2" xfId="0" applyFont="1" applyFill="1" applyBorder="1" applyAlignment="1">
      <alignment horizontal="left" vertical="top" wrapText="1"/>
    </xf>
    <xf numFmtId="0" fontId="21" fillId="0" borderId="4" xfId="0" applyFont="1" applyFill="1" applyBorder="1" applyAlignment="1">
      <alignment horizontal="left" vertical="top" wrapText="1"/>
    </xf>
    <xf numFmtId="0" fontId="35" fillId="0" borderId="0" xfId="0" applyFont="1" applyFill="1" applyAlignment="1">
      <alignment horizontal="left" vertical="top" wrapText="1"/>
    </xf>
    <xf numFmtId="0" fontId="30" fillId="0" borderId="0" xfId="0" applyFont="1" applyFill="1" applyBorder="1" applyAlignment="1">
      <alignment horizontal="left" wrapText="1"/>
    </xf>
    <xf numFmtId="0" fontId="23" fillId="0" borderId="1" xfId="0" applyFont="1" applyBorder="1" applyAlignment="1">
      <alignment horizontal="left" wrapText="1"/>
    </xf>
    <xf numFmtId="0" fontId="23" fillId="0" borderId="6" xfId="0" applyFont="1" applyFill="1" applyBorder="1" applyAlignment="1">
      <alignment horizontal="center"/>
    </xf>
    <xf numFmtId="0" fontId="23" fillId="0" borderId="7" xfId="0" applyFont="1" applyFill="1" applyBorder="1" applyAlignment="1">
      <alignment horizontal="center"/>
    </xf>
    <xf numFmtId="0" fontId="2" fillId="0" borderId="1" xfId="0" applyFont="1" applyFill="1" applyBorder="1" applyAlignment="1">
      <alignment horizontal="left"/>
    </xf>
    <xf numFmtId="0" fontId="21" fillId="0" borderId="1" xfId="0" applyFont="1" applyFill="1" applyBorder="1" applyAlignment="1">
      <alignment horizontal="left"/>
    </xf>
    <xf numFmtId="0" fontId="23" fillId="0" borderId="8" xfId="0" applyFont="1" applyFill="1" applyBorder="1" applyAlignment="1">
      <alignment horizontal="center"/>
    </xf>
    <xf numFmtId="0" fontId="23" fillId="0" borderId="9" xfId="0" applyFont="1" applyFill="1" applyBorder="1" applyAlignment="1">
      <alignment horizontal="center"/>
    </xf>
    <xf numFmtId="0" fontId="23" fillId="0" borderId="4" xfId="0" applyFont="1" applyFill="1" applyBorder="1" applyAlignment="1">
      <alignment horizontal="center"/>
    </xf>
    <xf numFmtId="0" fontId="23" fillId="0" borderId="1" xfId="0" applyFont="1" applyBorder="1" applyAlignment="1">
      <alignment horizontal="center" wrapText="1"/>
    </xf>
    <xf numFmtId="0" fontId="30" fillId="0" borderId="5" xfId="0" applyFont="1" applyBorder="1" applyAlignment="1">
      <alignment horizontal="center"/>
    </xf>
    <xf numFmtId="9" fontId="30" fillId="0" borderId="5" xfId="1" applyFont="1" applyBorder="1" applyAlignment="1">
      <alignment horizontal="center"/>
    </xf>
    <xf numFmtId="0" fontId="30" fillId="0" borderId="1" xfId="0" applyFont="1" applyBorder="1" applyAlignment="1">
      <alignment horizontal="center"/>
    </xf>
    <xf numFmtId="0" fontId="30" fillId="0" borderId="7" xfId="0" applyFont="1" applyBorder="1" applyAlignment="1">
      <alignment horizontal="center"/>
    </xf>
    <xf numFmtId="9" fontId="30" fillId="0" borderId="7" xfId="1" applyFont="1" applyBorder="1" applyAlignment="1">
      <alignment horizontal="center"/>
    </xf>
    <xf numFmtId="9" fontId="30" fillId="0" borderId="1" xfId="1" applyFont="1" applyBorder="1" applyAlignment="1">
      <alignment horizontal="center"/>
    </xf>
    <xf numFmtId="0" fontId="29" fillId="0" borderId="2" xfId="0" applyFont="1" applyBorder="1" applyAlignment="1">
      <alignment horizontal="center"/>
    </xf>
    <xf numFmtId="0" fontId="29" fillId="0" borderId="3" xfId="0" applyFont="1" applyBorder="1" applyAlignment="1">
      <alignment horizontal="center"/>
    </xf>
    <xf numFmtId="0" fontId="29" fillId="0" borderId="4" xfId="0" applyFont="1" applyBorder="1" applyAlignment="1">
      <alignment horizontal="center"/>
    </xf>
    <xf numFmtId="0" fontId="21" fillId="0" borderId="1" xfId="0" applyFont="1" applyBorder="1" applyAlignment="1">
      <alignment horizontal="left"/>
    </xf>
    <xf numFmtId="0" fontId="30" fillId="0" borderId="0" xfId="0" applyFont="1" applyBorder="1" applyAlignment="1">
      <alignment horizontal="left" wrapText="1"/>
    </xf>
    <xf numFmtId="0" fontId="21" fillId="4" borderId="6" xfId="0" applyFont="1" applyFill="1" applyBorder="1" applyAlignment="1">
      <alignment horizontal="right" vertical="center"/>
    </xf>
    <xf numFmtId="0" fontId="21" fillId="4" borderId="7" xfId="0" applyFont="1" applyFill="1" applyBorder="1" applyAlignment="1">
      <alignment horizontal="right" vertical="center"/>
    </xf>
    <xf numFmtId="0" fontId="21" fillId="4" borderId="10" xfId="0" applyFont="1" applyFill="1" applyBorder="1" applyAlignment="1">
      <alignment horizontal="right" vertical="center"/>
    </xf>
    <xf numFmtId="0" fontId="21" fillId="4" borderId="47" xfId="0" applyFont="1" applyFill="1" applyBorder="1" applyAlignment="1">
      <alignment horizontal="right" vertical="center"/>
    </xf>
    <xf numFmtId="0" fontId="23" fillId="0" borderId="2" xfId="0" applyFont="1" applyBorder="1" applyAlignment="1">
      <alignment horizontal="center" wrapText="1"/>
    </xf>
    <xf numFmtId="0" fontId="23" fillId="0" borderId="4" xfId="0" applyFont="1" applyBorder="1" applyAlignment="1">
      <alignment horizontal="center" wrapText="1"/>
    </xf>
    <xf numFmtId="0" fontId="21" fillId="4" borderId="1" xfId="0" applyFont="1" applyFill="1" applyBorder="1" applyAlignment="1">
      <alignment horizontal="center" vertical="center"/>
    </xf>
    <xf numFmtId="0" fontId="30" fillId="0" borderId="0" xfId="0" applyFont="1" applyBorder="1" applyAlignment="1">
      <alignment horizontal="left" vertical="center" wrapText="1"/>
    </xf>
    <xf numFmtId="0" fontId="26" fillId="4" borderId="1" xfId="0" applyFont="1" applyFill="1" applyBorder="1" applyAlignment="1">
      <alignment horizontal="center"/>
    </xf>
    <xf numFmtId="0" fontId="23" fillId="0" borderId="3" xfId="0" applyFont="1" applyBorder="1" applyAlignment="1">
      <alignment horizontal="center" wrapText="1"/>
    </xf>
    <xf numFmtId="0" fontId="30" fillId="0" borderId="26" xfId="0" applyFont="1" applyBorder="1" applyAlignment="1">
      <alignment horizontal="left" vertical="center" wrapText="1"/>
    </xf>
    <xf numFmtId="0" fontId="35" fillId="0" borderId="0" xfId="0" applyFont="1" applyAlignment="1">
      <alignment horizontal="left" wrapText="1"/>
    </xf>
    <xf numFmtId="0" fontId="28" fillId="0" borderId="35" xfId="0" applyFont="1" applyBorder="1" applyAlignment="1">
      <alignment horizontal="center"/>
    </xf>
    <xf numFmtId="0" fontId="28" fillId="0" borderId="3" xfId="0" applyFont="1" applyBorder="1" applyAlignment="1">
      <alignment horizontal="center"/>
    </xf>
    <xf numFmtId="0" fontId="28" fillId="0" borderId="57" xfId="0" applyFont="1" applyBorder="1" applyAlignment="1">
      <alignment horizontal="center"/>
    </xf>
    <xf numFmtId="0" fontId="23" fillId="0" borderId="33" xfId="0" applyFont="1" applyBorder="1" applyAlignment="1">
      <alignment horizontal="center"/>
    </xf>
    <xf numFmtId="0" fontId="23" fillId="0" borderId="55" xfId="0" applyFont="1" applyBorder="1" applyAlignment="1">
      <alignment horizontal="center"/>
    </xf>
    <xf numFmtId="0" fontId="23" fillId="0" borderId="56" xfId="0" applyFont="1" applyBorder="1" applyAlignment="1">
      <alignment horizontal="center"/>
    </xf>
    <xf numFmtId="0" fontId="23" fillId="0" borderId="11" xfId="0" applyFont="1" applyBorder="1" applyAlignment="1">
      <alignment horizontal="center" wrapText="1"/>
    </xf>
    <xf numFmtId="0" fontId="23" fillId="0" borderId="12" xfId="0" applyFont="1" applyBorder="1" applyAlignment="1">
      <alignment horizontal="center" wrapText="1"/>
    </xf>
    <xf numFmtId="0" fontId="23" fillId="0" borderId="35" xfId="0" applyFont="1" applyBorder="1" applyAlignment="1">
      <alignment horizontal="center" wrapText="1"/>
    </xf>
    <xf numFmtId="0" fontId="23" fillId="0" borderId="57" xfId="0" applyFont="1" applyBorder="1" applyAlignment="1">
      <alignment horizontal="center" wrapText="1"/>
    </xf>
    <xf numFmtId="0" fontId="23" fillId="0" borderId="65" xfId="0" applyFont="1" applyBorder="1" applyAlignment="1">
      <alignment horizontal="center"/>
    </xf>
    <xf numFmtId="0" fontId="23" fillId="0" borderId="27" xfId="0" applyFont="1" applyBorder="1" applyAlignment="1">
      <alignment horizontal="center"/>
    </xf>
    <xf numFmtId="0" fontId="23" fillId="0" borderId="28" xfId="0" applyFont="1" applyBorder="1" applyAlignment="1">
      <alignment horizontal="center"/>
    </xf>
    <xf numFmtId="0" fontId="23" fillId="0" borderId="45" xfId="0" applyFont="1" applyBorder="1" applyAlignment="1">
      <alignment horizontal="center" wrapText="1"/>
    </xf>
    <xf numFmtId="0" fontId="23" fillId="0" borderId="46" xfId="0" applyFont="1" applyBorder="1" applyAlignment="1">
      <alignment horizontal="center" wrapText="1"/>
    </xf>
    <xf numFmtId="0" fontId="28" fillId="0" borderId="35" xfId="0" applyFont="1" applyBorder="1" applyAlignment="1">
      <alignment horizontal="center" wrapText="1"/>
    </xf>
    <xf numFmtId="0" fontId="28" fillId="0" borderId="3" xfId="0" applyFont="1" applyBorder="1" applyAlignment="1">
      <alignment horizontal="center" wrapText="1"/>
    </xf>
    <xf numFmtId="0" fontId="28" fillId="0" borderId="57" xfId="0" applyFont="1" applyBorder="1" applyAlignment="1">
      <alignment horizontal="center" wrapText="1"/>
    </xf>
    <xf numFmtId="0" fontId="28" fillId="0" borderId="8" xfId="0" applyFont="1" applyBorder="1" applyAlignment="1">
      <alignment horizontal="center" wrapText="1"/>
    </xf>
    <xf numFmtId="0" fontId="28" fillId="0" borderId="1" xfId="0" applyFont="1" applyBorder="1" applyAlignment="1">
      <alignment horizontal="center" wrapText="1"/>
    </xf>
    <xf numFmtId="0" fontId="28" fillId="0" borderId="29" xfId="0" applyFont="1" applyBorder="1" applyAlignment="1">
      <alignment horizontal="center" wrapText="1"/>
    </xf>
    <xf numFmtId="0" fontId="23" fillId="0" borderId="33" xfId="0" applyFont="1" applyBorder="1" applyAlignment="1">
      <alignment horizontal="center" wrapText="1"/>
    </xf>
    <xf numFmtId="0" fontId="23" fillId="0" borderId="56" xfId="0" applyFont="1" applyBorder="1" applyAlignment="1">
      <alignment horizontal="center" wrapText="1"/>
    </xf>
    <xf numFmtId="0" fontId="23" fillId="0" borderId="35" xfId="0" applyFont="1" applyBorder="1" applyAlignment="1">
      <alignment horizontal="center"/>
    </xf>
    <xf numFmtId="0" fontId="23" fillId="0" borderId="3" xfId="0" applyFont="1" applyBorder="1" applyAlignment="1">
      <alignment horizontal="center"/>
    </xf>
    <xf numFmtId="0" fontId="23" fillId="0" borderId="36" xfId="0" applyFont="1" applyBorder="1" applyAlignment="1">
      <alignment horizontal="center"/>
    </xf>
    <xf numFmtId="0" fontId="21" fillId="0" borderId="7" xfId="0" applyFont="1" applyBorder="1" applyAlignment="1">
      <alignment horizontal="left"/>
    </xf>
    <xf numFmtId="0" fontId="26" fillId="0" borderId="5" xfId="0" applyFont="1" applyBorder="1" applyAlignment="1">
      <alignment horizontal="left"/>
    </xf>
    <xf numFmtId="0" fontId="2" fillId="0" borderId="2" xfId="0" applyFont="1" applyFill="1" applyBorder="1" applyAlignment="1">
      <alignment horizontal="left"/>
    </xf>
    <xf numFmtId="0" fontId="2" fillId="0" borderId="1" xfId="0" applyFont="1" applyFill="1" applyBorder="1" applyAlignment="1">
      <alignment horizontal="left" wrapText="1"/>
    </xf>
    <xf numFmtId="0" fontId="21" fillId="0" borderId="1" xfId="0" applyFont="1" applyFill="1" applyBorder="1" applyAlignment="1">
      <alignment horizontal="left" wrapText="1"/>
    </xf>
    <xf numFmtId="0" fontId="28" fillId="0" borderId="2" xfId="0" applyFont="1" applyFill="1" applyBorder="1" applyAlignment="1">
      <alignment horizontal="left"/>
    </xf>
    <xf numFmtId="0" fontId="28" fillId="0" borderId="4" xfId="0" applyFont="1" applyFill="1" applyBorder="1" applyAlignment="1">
      <alignment horizontal="left"/>
    </xf>
    <xf numFmtId="0" fontId="21" fillId="3" borderId="2" xfId="0" applyFont="1" applyFill="1" applyBorder="1" applyAlignment="1">
      <alignment horizontal="left"/>
    </xf>
    <xf numFmtId="0" fontId="21" fillId="3" borderId="4" xfId="0" applyFont="1" applyFill="1" applyBorder="1" applyAlignment="1">
      <alignment horizontal="left"/>
    </xf>
    <xf numFmtId="0" fontId="31" fillId="0" borderId="1" xfId="0" applyFont="1" applyBorder="1" applyAlignment="1">
      <alignment horizontal="center" wrapText="1"/>
    </xf>
    <xf numFmtId="0" fontId="23" fillId="0" borderId="2" xfId="0" applyFont="1" applyFill="1" applyBorder="1" applyAlignment="1">
      <alignment horizontal="center"/>
    </xf>
    <xf numFmtId="0" fontId="28" fillId="0" borderId="1" xfId="0" applyFont="1" applyFill="1" applyBorder="1" applyAlignment="1">
      <alignment horizontal="center" vertical="top" wrapText="1"/>
    </xf>
    <xf numFmtId="0" fontId="21" fillId="0" borderId="5" xfId="0" applyFont="1" applyBorder="1" applyAlignment="1">
      <alignment horizontal="left"/>
    </xf>
    <xf numFmtId="0" fontId="2" fillId="0" borderId="1" xfId="0" applyFont="1" applyFill="1" applyBorder="1" applyAlignment="1">
      <alignment horizontal="right"/>
    </xf>
    <xf numFmtId="0" fontId="21" fillId="0" borderId="1" xfId="0" applyFont="1" applyFill="1" applyBorder="1" applyAlignment="1">
      <alignment horizontal="right"/>
    </xf>
    <xf numFmtId="0" fontId="28" fillId="0" borderId="1" xfId="0" applyFont="1" applyFill="1" applyBorder="1" applyAlignment="1">
      <alignment horizontal="left" vertical="top"/>
    </xf>
    <xf numFmtId="164" fontId="21" fillId="3" borderId="2" xfId="2" applyNumberFormat="1" applyFont="1" applyFill="1" applyBorder="1" applyAlignment="1">
      <alignment horizontal="center"/>
    </xf>
    <xf numFmtId="164" fontId="21" fillId="3" borderId="4" xfId="2" applyNumberFormat="1" applyFont="1" applyFill="1" applyBorder="1" applyAlignment="1">
      <alignment horizontal="center"/>
    </xf>
    <xf numFmtId="0" fontId="26" fillId="0" borderId="2" xfId="0" applyFont="1" applyBorder="1" applyAlignment="1">
      <alignment horizontal="left"/>
    </xf>
    <xf numFmtId="0" fontId="26" fillId="0" borderId="3" xfId="0" applyFont="1" applyBorder="1" applyAlignment="1">
      <alignment horizontal="left"/>
    </xf>
    <xf numFmtId="0" fontId="26" fillId="0" borderId="4" xfId="0" applyFont="1" applyBorder="1" applyAlignment="1">
      <alignment horizontal="left"/>
    </xf>
    <xf numFmtId="0" fontId="26" fillId="0" borderId="21" xfId="0" applyFont="1" applyBorder="1" applyAlignment="1">
      <alignment horizontal="left"/>
    </xf>
    <xf numFmtId="0" fontId="26" fillId="0" borderId="22" xfId="0" applyFont="1" applyBorder="1" applyAlignment="1">
      <alignment horizontal="left"/>
    </xf>
    <xf numFmtId="0" fontId="26" fillId="0" borderId="23" xfId="0" applyFont="1" applyBorder="1" applyAlignment="1">
      <alignment horizontal="left"/>
    </xf>
    <xf numFmtId="0" fontId="26" fillId="0" borderId="7" xfId="0" applyFont="1" applyBorder="1" applyAlignment="1">
      <alignment horizontal="left"/>
    </xf>
    <xf numFmtId="0" fontId="18" fillId="0" borderId="1" xfId="0" applyFont="1" applyFill="1" applyBorder="1" applyAlignment="1">
      <alignment horizontal="left" wrapText="1"/>
    </xf>
    <xf numFmtId="0" fontId="18" fillId="0" borderId="2" xfId="0" applyFont="1" applyFill="1" applyBorder="1" applyAlignment="1">
      <alignment horizontal="left" wrapText="1"/>
    </xf>
    <xf numFmtId="0" fontId="18" fillId="0" borderId="4" xfId="0" applyFont="1" applyFill="1" applyBorder="1" applyAlignment="1">
      <alignment horizontal="left" wrapText="1"/>
    </xf>
    <xf numFmtId="0" fontId="28" fillId="0" borderId="2" xfId="0" applyFont="1" applyFill="1" applyBorder="1" applyAlignment="1">
      <alignment horizontal="center"/>
    </xf>
    <xf numFmtId="0" fontId="28" fillId="0" borderId="4" xfId="0" applyFont="1" applyFill="1" applyBorder="1" applyAlignment="1">
      <alignment horizontal="center"/>
    </xf>
    <xf numFmtId="0" fontId="31" fillId="0" borderId="1" xfId="0" applyFont="1" applyBorder="1" applyAlignment="1">
      <alignment horizontal="left" wrapText="1"/>
    </xf>
    <xf numFmtId="0" fontId="26" fillId="0" borderId="20" xfId="0" applyFont="1" applyBorder="1" applyAlignment="1">
      <alignment horizontal="left"/>
    </xf>
    <xf numFmtId="0" fontId="21" fillId="0" borderId="4" xfId="0" applyFont="1" applyFill="1" applyBorder="1" applyAlignment="1">
      <alignment horizontal="left" wrapText="1"/>
    </xf>
    <xf numFmtId="0" fontId="17" fillId="0" borderId="1" xfId="0" applyFont="1" applyFill="1" applyBorder="1" applyAlignment="1">
      <alignment horizontal="center"/>
    </xf>
    <xf numFmtId="0" fontId="21" fillId="0" borderId="1" xfId="0" applyFont="1" applyFill="1" applyBorder="1" applyAlignment="1">
      <alignment horizontal="center"/>
    </xf>
    <xf numFmtId="0" fontId="28" fillId="0" borderId="2" xfId="0" applyFont="1" applyFill="1" applyBorder="1" applyAlignment="1">
      <alignment horizontal="center" vertical="top" wrapText="1"/>
    </xf>
    <xf numFmtId="0" fontId="28" fillId="0" borderId="4" xfId="0" applyFont="1" applyFill="1" applyBorder="1" applyAlignment="1">
      <alignment horizontal="center" vertical="top" wrapText="1"/>
    </xf>
    <xf numFmtId="0" fontId="21" fillId="0" borderId="3" xfId="0" applyFont="1" applyFill="1" applyBorder="1" applyAlignment="1">
      <alignment horizontal="left" wrapText="1"/>
    </xf>
    <xf numFmtId="0" fontId="21" fillId="0" borderId="2" xfId="0" applyFont="1" applyFill="1" applyBorder="1" applyAlignment="1">
      <alignment horizontal="left" wrapText="1"/>
    </xf>
    <xf numFmtId="0" fontId="13" fillId="0" borderId="2" xfId="0" applyFont="1" applyFill="1" applyBorder="1" applyAlignment="1">
      <alignment horizontal="left" wrapText="1"/>
    </xf>
    <xf numFmtId="0" fontId="21" fillId="0" borderId="3" xfId="0" applyFont="1" applyFill="1" applyBorder="1" applyAlignment="1">
      <alignment horizontal="left"/>
    </xf>
    <xf numFmtId="0" fontId="21" fillId="0" borderId="36" xfId="0" applyFont="1" applyFill="1" applyBorder="1" applyAlignment="1">
      <alignment horizontal="left"/>
    </xf>
    <xf numFmtId="0" fontId="23" fillId="0" borderId="2" xfId="0" applyFont="1" applyFill="1" applyBorder="1" applyAlignment="1">
      <alignment horizontal="left"/>
    </xf>
    <xf numFmtId="0" fontId="23" fillId="0" borderId="3" xfId="0" applyFont="1" applyFill="1" applyBorder="1" applyAlignment="1">
      <alignment horizontal="left"/>
    </xf>
    <xf numFmtId="0" fontId="23" fillId="0" borderId="36" xfId="0" applyFont="1" applyFill="1" applyBorder="1" applyAlignment="1">
      <alignment horizontal="left"/>
    </xf>
    <xf numFmtId="0" fontId="23" fillId="0" borderId="8" xfId="0" applyFont="1" applyBorder="1" applyAlignment="1">
      <alignment horizontal="center" wrapText="1"/>
    </xf>
    <xf numFmtId="0" fontId="23" fillId="0" borderId="35" xfId="0" applyFont="1" applyFill="1" applyBorder="1" applyAlignment="1">
      <alignment horizontal="center" wrapText="1"/>
    </xf>
    <xf numFmtId="0" fontId="23" fillId="0" borderId="3" xfId="0" applyFont="1" applyFill="1" applyBorder="1" applyAlignment="1">
      <alignment horizontal="center" wrapText="1"/>
    </xf>
    <xf numFmtId="0" fontId="23" fillId="0" borderId="4" xfId="0" applyFont="1" applyFill="1" applyBorder="1" applyAlignment="1">
      <alignment horizontal="center" wrapText="1"/>
    </xf>
    <xf numFmtId="0" fontId="21" fillId="0" borderId="6" xfId="0" applyFont="1" applyFill="1" applyBorder="1" applyAlignment="1">
      <alignment horizontal="left" vertical="center"/>
    </xf>
    <xf numFmtId="0" fontId="21" fillId="0" borderId="10" xfId="0" applyFont="1" applyFill="1" applyBorder="1" applyAlignment="1">
      <alignment horizontal="left" vertical="center"/>
    </xf>
    <xf numFmtId="0" fontId="21" fillId="0" borderId="7" xfId="0" applyFont="1" applyFill="1" applyBorder="1" applyAlignment="1">
      <alignment horizontal="left" vertical="center"/>
    </xf>
    <xf numFmtId="0" fontId="2" fillId="0" borderId="1" xfId="0" applyFont="1" applyBorder="1" applyAlignment="1">
      <alignment horizontal="left"/>
    </xf>
    <xf numFmtId="0" fontId="21" fillId="0" borderId="20" xfId="0" applyFont="1" applyBorder="1" applyAlignment="1">
      <alignment horizontal="left"/>
    </xf>
    <xf numFmtId="0" fontId="8" fillId="0" borderId="6" xfId="0" applyFont="1" applyBorder="1" applyAlignment="1">
      <alignment horizontal="left"/>
    </xf>
    <xf numFmtId="0" fontId="21" fillId="0" borderId="6" xfId="0" applyFont="1" applyBorder="1" applyAlignment="1">
      <alignment horizontal="left"/>
    </xf>
    <xf numFmtId="0" fontId="23" fillId="0" borderId="11" xfId="0" applyFont="1" applyFill="1" applyBorder="1" applyAlignment="1">
      <alignment horizontal="left"/>
    </xf>
    <xf numFmtId="0" fontId="23" fillId="0" borderId="12" xfId="0" applyFont="1" applyFill="1" applyBorder="1" applyAlignment="1">
      <alignment horizontal="left"/>
    </xf>
    <xf numFmtId="0" fontId="26" fillId="3" borderId="1" xfId="0" applyFont="1" applyFill="1" applyBorder="1" applyAlignment="1">
      <alignment horizontal="left" wrapText="1"/>
    </xf>
    <xf numFmtId="0" fontId="35" fillId="0" borderId="2" xfId="0" applyFont="1" applyFill="1" applyBorder="1" applyAlignment="1">
      <alignment horizontal="center"/>
    </xf>
    <xf numFmtId="0" fontId="35" fillId="0" borderId="3" xfId="0" applyFont="1" applyFill="1" applyBorder="1" applyAlignment="1">
      <alignment horizontal="center"/>
    </xf>
    <xf numFmtId="0" fontId="35" fillId="0" borderId="4" xfId="0" applyFont="1" applyFill="1" applyBorder="1" applyAlignment="1">
      <alignment horizontal="center"/>
    </xf>
    <xf numFmtId="0" fontId="21" fillId="3" borderId="1" xfId="0" applyFont="1" applyFill="1" applyBorder="1" applyAlignment="1">
      <alignment horizontal="left" wrapText="1"/>
    </xf>
    <xf numFmtId="0" fontId="31" fillId="0" borderId="1" xfId="0" applyFont="1" applyBorder="1" applyAlignment="1">
      <alignment horizontal="center"/>
    </xf>
    <xf numFmtId="0" fontId="31" fillId="0" borderId="2" xfId="0" applyFont="1" applyBorder="1" applyAlignment="1">
      <alignment horizontal="center"/>
    </xf>
    <xf numFmtId="0" fontId="31" fillId="0" borderId="4" xfId="0" applyFont="1" applyBorder="1" applyAlignment="1">
      <alignment horizontal="center"/>
    </xf>
    <xf numFmtId="0" fontId="26" fillId="0" borderId="1" xfId="0" applyFont="1" applyBorder="1" applyAlignment="1">
      <alignment horizontal="left"/>
    </xf>
    <xf numFmtId="0" fontId="26" fillId="0" borderId="6" xfId="0" applyFont="1" applyFill="1" applyBorder="1" applyAlignment="1">
      <alignment horizontal="left" vertical="center" wrapText="1"/>
    </xf>
    <xf numFmtId="0" fontId="26" fillId="0" borderId="10" xfId="0" applyFont="1" applyFill="1" applyBorder="1" applyAlignment="1">
      <alignment horizontal="left" vertical="center" wrapText="1"/>
    </xf>
    <xf numFmtId="0" fontId="26" fillId="0" borderId="7" xfId="0" applyFont="1" applyFill="1" applyBorder="1" applyAlignment="1">
      <alignment horizontal="left" vertical="center" wrapText="1"/>
    </xf>
    <xf numFmtId="0" fontId="26" fillId="0" borderId="6" xfId="0" applyFont="1" applyFill="1" applyBorder="1" applyAlignment="1">
      <alignment horizontal="left" vertical="center"/>
    </xf>
    <xf numFmtId="0" fontId="26" fillId="0" borderId="10" xfId="0" applyFont="1" applyFill="1" applyBorder="1" applyAlignment="1">
      <alignment horizontal="left" vertical="center"/>
    </xf>
    <xf numFmtId="0" fontId="26" fillId="0" borderId="7" xfId="0" applyFont="1" applyFill="1" applyBorder="1" applyAlignment="1">
      <alignment horizontal="left" vertical="center"/>
    </xf>
    <xf numFmtId="0" fontId="23" fillId="0" borderId="1" xfId="0" applyFont="1" applyFill="1" applyBorder="1" applyAlignment="1">
      <alignment horizontal="left"/>
    </xf>
    <xf numFmtId="0" fontId="21" fillId="0" borderId="1" xfId="0" applyFont="1" applyFill="1" applyBorder="1" applyAlignment="1">
      <alignment horizontal="left" vertical="center" wrapText="1"/>
    </xf>
    <xf numFmtId="0" fontId="2" fillId="0" borderId="1" xfId="0" applyFont="1" applyFill="1" applyBorder="1" applyAlignment="1">
      <alignment horizontal="left" vertical="center" wrapText="1"/>
    </xf>
    <xf numFmtId="0" fontId="21" fillId="0" borderId="6" xfId="0" applyFont="1" applyFill="1" applyBorder="1" applyAlignment="1">
      <alignment horizontal="left" vertical="center" wrapText="1"/>
    </xf>
    <xf numFmtId="0" fontId="21" fillId="0" borderId="10" xfId="0" applyFont="1" applyFill="1" applyBorder="1" applyAlignment="1">
      <alignment horizontal="left" vertical="center" wrapText="1"/>
    </xf>
    <xf numFmtId="0" fontId="21" fillId="3" borderId="2" xfId="0" applyFont="1" applyFill="1" applyBorder="1" applyAlignment="1">
      <alignment horizontal="center"/>
    </xf>
    <xf numFmtId="0" fontId="21" fillId="3" borderId="4" xfId="0" applyFont="1" applyFill="1" applyBorder="1" applyAlignment="1">
      <alignment horizontal="center"/>
    </xf>
    <xf numFmtId="0" fontId="21" fillId="3" borderId="1" xfId="0" applyFont="1" applyFill="1" applyBorder="1" applyAlignment="1">
      <alignment horizontal="left" vertical="center" wrapText="1"/>
    </xf>
    <xf numFmtId="0" fontId="23" fillId="0" borderId="2" xfId="0" applyFont="1" applyFill="1" applyBorder="1" applyAlignment="1">
      <alignment horizontal="center" wrapText="1"/>
    </xf>
    <xf numFmtId="0" fontId="31" fillId="0" borderId="2" xfId="0" applyFont="1" applyBorder="1" applyAlignment="1">
      <alignment horizontal="center" wrapText="1"/>
    </xf>
    <xf numFmtId="0" fontId="31" fillId="0" borderId="4" xfId="0" applyFont="1" applyBorder="1" applyAlignment="1">
      <alignment horizontal="center" wrapText="1"/>
    </xf>
    <xf numFmtId="0" fontId="31" fillId="0" borderId="9" xfId="0" applyFont="1" applyFill="1" applyBorder="1" applyAlignment="1">
      <alignment horizontal="left"/>
    </xf>
    <xf numFmtId="0" fontId="26" fillId="0" borderId="24" xfId="0" applyFont="1" applyBorder="1" applyAlignment="1">
      <alignment horizontal="left"/>
    </xf>
    <xf numFmtId="0" fontId="26" fillId="0" borderId="69" xfId="0" applyFont="1" applyBorder="1" applyAlignment="1">
      <alignment horizontal="left"/>
    </xf>
    <xf numFmtId="0" fontId="26" fillId="0" borderId="25" xfId="0" applyFont="1" applyBorder="1" applyAlignment="1">
      <alignment horizontal="left"/>
    </xf>
    <xf numFmtId="0" fontId="26" fillId="0" borderId="2" xfId="0" applyFont="1" applyFill="1" applyBorder="1" applyAlignment="1">
      <alignment horizontal="left"/>
    </xf>
    <xf numFmtId="0" fontId="26" fillId="0" borderId="4" xfId="0" applyFont="1" applyFill="1" applyBorder="1" applyAlignment="1">
      <alignment horizontal="left"/>
    </xf>
    <xf numFmtId="0" fontId="26" fillId="0" borderId="6" xfId="0" applyFont="1" applyFill="1" applyBorder="1" applyAlignment="1">
      <alignment horizontal="center" vertical="center"/>
    </xf>
    <xf numFmtId="0" fontId="26" fillId="0" borderId="10" xfId="0" applyFont="1" applyFill="1" applyBorder="1" applyAlignment="1">
      <alignment horizontal="center" vertical="center"/>
    </xf>
    <xf numFmtId="0" fontId="26" fillId="0" borderId="7" xfId="0" applyFont="1" applyFill="1" applyBorder="1" applyAlignment="1">
      <alignment horizontal="center" vertical="center"/>
    </xf>
    <xf numFmtId="0" fontId="26" fillId="0" borderId="1" xfId="0" applyFont="1" applyFill="1" applyBorder="1" applyAlignment="1">
      <alignment horizontal="left" vertical="center"/>
    </xf>
    <xf numFmtId="0" fontId="26" fillId="0" borderId="6" xfId="0" applyFont="1" applyFill="1" applyBorder="1" applyAlignment="1">
      <alignment horizontal="center" vertical="center" wrapText="1"/>
    </xf>
    <xf numFmtId="0" fontId="26" fillId="0" borderId="10" xfId="0" applyFont="1" applyFill="1" applyBorder="1" applyAlignment="1">
      <alignment horizontal="center" vertical="center" wrapText="1"/>
    </xf>
    <xf numFmtId="0" fontId="26" fillId="0" borderId="7" xfId="0" applyFont="1" applyFill="1" applyBorder="1" applyAlignment="1">
      <alignment horizontal="center" vertical="center" wrapText="1"/>
    </xf>
    <xf numFmtId="0" fontId="31" fillId="0" borderId="1" xfId="0" applyFont="1" applyFill="1" applyBorder="1" applyAlignment="1">
      <alignment horizontal="center" vertical="center" wrapText="1"/>
    </xf>
    <xf numFmtId="0" fontId="64" fillId="0" borderId="2" xfId="0" applyFont="1" applyBorder="1" applyAlignment="1">
      <alignment horizontal="center"/>
    </xf>
    <xf numFmtId="0" fontId="64" fillId="0" borderId="3" xfId="0" applyFont="1" applyBorder="1" applyAlignment="1">
      <alignment horizontal="center"/>
    </xf>
    <xf numFmtId="0" fontId="64" fillId="0" borderId="4" xfId="0" applyFont="1" applyBorder="1" applyAlignment="1">
      <alignment horizontal="center"/>
    </xf>
    <xf numFmtId="0" fontId="26" fillId="3" borderId="2" xfId="0" applyFont="1" applyFill="1" applyBorder="1" applyAlignment="1">
      <alignment horizontal="center"/>
    </xf>
    <xf numFmtId="0" fontId="26" fillId="3" borderId="3" xfId="0" applyFont="1" applyFill="1" applyBorder="1" applyAlignment="1">
      <alignment horizontal="center"/>
    </xf>
    <xf numFmtId="0" fontId="26" fillId="3" borderId="4" xfId="0" applyFont="1" applyFill="1" applyBorder="1" applyAlignment="1">
      <alignment horizontal="center"/>
    </xf>
    <xf numFmtId="0" fontId="31" fillId="0" borderId="2" xfId="0" applyFont="1" applyFill="1" applyBorder="1" applyAlignment="1">
      <alignment horizontal="left"/>
    </xf>
    <xf numFmtId="0" fontId="31" fillId="0" borderId="4" xfId="0" applyFont="1" applyFill="1" applyBorder="1" applyAlignment="1">
      <alignment horizontal="left"/>
    </xf>
    <xf numFmtId="0" fontId="31" fillId="0" borderId="35" xfId="0" applyFont="1" applyBorder="1" applyAlignment="1">
      <alignment horizontal="center" wrapText="1"/>
    </xf>
    <xf numFmtId="0" fontId="31" fillId="0" borderId="3" xfId="0" applyFont="1" applyBorder="1" applyAlignment="1">
      <alignment horizontal="center" wrapText="1"/>
    </xf>
    <xf numFmtId="0" fontId="31" fillId="0" borderId="36" xfId="0" applyFont="1" applyBorder="1" applyAlignment="1">
      <alignment horizontal="center" wrapText="1"/>
    </xf>
    <xf numFmtId="0" fontId="26" fillId="0" borderId="2" xfId="0" applyFont="1" applyFill="1" applyBorder="1" applyAlignment="1">
      <alignment horizontal="left" wrapText="1"/>
    </xf>
    <xf numFmtId="0" fontId="26" fillId="0" borderId="4" xfId="0" applyFont="1" applyFill="1" applyBorder="1" applyAlignment="1">
      <alignment horizontal="left" wrapText="1"/>
    </xf>
    <xf numFmtId="0" fontId="31" fillId="0" borderId="8" xfId="0" applyFont="1" applyBorder="1" applyAlignment="1">
      <alignment horizontal="center" wrapText="1"/>
    </xf>
    <xf numFmtId="0" fontId="31" fillId="0" borderId="9" xfId="0" applyFont="1" applyBorder="1" applyAlignment="1">
      <alignment horizontal="center" wrapText="1"/>
    </xf>
    <xf numFmtId="0" fontId="26" fillId="0" borderId="1" xfId="0" applyFont="1" applyFill="1" applyBorder="1" applyAlignment="1">
      <alignment horizontal="center" vertical="center" wrapText="1"/>
    </xf>
    <xf numFmtId="0" fontId="31" fillId="0" borderId="8" xfId="0" applyFont="1" applyFill="1" applyBorder="1" applyAlignment="1">
      <alignment horizontal="center" wrapText="1"/>
    </xf>
    <xf numFmtId="0" fontId="31" fillId="0" borderId="9" xfId="0" applyFont="1" applyFill="1" applyBorder="1" applyAlignment="1">
      <alignment horizontal="center" wrapText="1"/>
    </xf>
    <xf numFmtId="0" fontId="31" fillId="0" borderId="4" xfId="0" applyFont="1" applyFill="1" applyBorder="1" applyAlignment="1">
      <alignment horizontal="center" wrapText="1"/>
    </xf>
    <xf numFmtId="0" fontId="31" fillId="0" borderId="1" xfId="0" applyFont="1" applyFill="1" applyBorder="1" applyAlignment="1">
      <alignment horizontal="center" wrapText="1"/>
    </xf>
    <xf numFmtId="9" fontId="35" fillId="3" borderId="1" xfId="1" applyFont="1" applyFill="1" applyBorder="1" applyAlignment="1">
      <alignment horizontal="center"/>
    </xf>
    <xf numFmtId="0" fontId="26" fillId="0" borderId="2" xfId="0" applyFont="1" applyBorder="1" applyAlignment="1">
      <alignment horizontal="left" wrapText="1"/>
    </xf>
    <xf numFmtId="0" fontId="26" fillId="0" borderId="4" xfId="0" applyFont="1" applyBorder="1" applyAlignment="1">
      <alignment horizontal="left" wrapText="1"/>
    </xf>
    <xf numFmtId="0" fontId="26" fillId="0" borderId="15" xfId="0" applyFont="1" applyBorder="1" applyAlignment="1">
      <alignment horizontal="left"/>
    </xf>
    <xf numFmtId="0" fontId="26" fillId="0" borderId="26" xfId="0" applyFont="1" applyBorder="1" applyAlignment="1">
      <alignment horizontal="left"/>
    </xf>
    <xf numFmtId="0" fontId="26" fillId="0" borderId="16" xfId="0" applyFont="1" applyBorder="1" applyAlignment="1">
      <alignment horizontal="left"/>
    </xf>
    <xf numFmtId="0" fontId="26" fillId="0" borderId="1" xfId="0" applyFont="1" applyFill="1" applyBorder="1" applyAlignment="1">
      <alignment horizontal="left"/>
    </xf>
    <xf numFmtId="0" fontId="26" fillId="0" borderId="18" xfId="0" applyFont="1" applyBorder="1" applyAlignment="1">
      <alignment horizontal="left"/>
    </xf>
    <xf numFmtId="0" fontId="26" fillId="0" borderId="13" xfId="0" applyFont="1" applyBorder="1" applyAlignment="1">
      <alignment horizontal="left"/>
    </xf>
    <xf numFmtId="0" fontId="26" fillId="0" borderId="19" xfId="0" applyFont="1" applyBorder="1" applyAlignment="1">
      <alignment horizontal="left"/>
    </xf>
    <xf numFmtId="0" fontId="26" fillId="0" borderId="14" xfId="0" applyFont="1" applyBorder="1" applyAlignment="1">
      <alignment horizontal="left"/>
    </xf>
    <xf numFmtId="0" fontId="26" fillId="0" borderId="0" xfId="0" applyFont="1" applyBorder="1" applyAlignment="1">
      <alignment horizontal="left"/>
    </xf>
    <xf numFmtId="0" fontId="26" fillId="0" borderId="17" xfId="0" applyFont="1" applyBorder="1" applyAlignment="1">
      <alignment horizontal="left"/>
    </xf>
    <xf numFmtId="0" fontId="64" fillId="0" borderId="1" xfId="0" applyFont="1" applyBorder="1" applyAlignment="1">
      <alignment horizontal="center"/>
    </xf>
    <xf numFmtId="0" fontId="26" fillId="3" borderId="1" xfId="0" applyFont="1" applyFill="1" applyBorder="1" applyAlignment="1">
      <alignment horizontal="center"/>
    </xf>
    <xf numFmtId="0" fontId="31" fillId="0" borderId="15" xfId="0" applyFont="1" applyBorder="1" applyAlignment="1">
      <alignment horizontal="center" wrapText="1"/>
    </xf>
    <xf numFmtId="0" fontId="31" fillId="0" borderId="16" xfId="0" applyFont="1" applyBorder="1" applyAlignment="1">
      <alignment horizontal="center" wrapText="1"/>
    </xf>
    <xf numFmtId="0" fontId="31" fillId="0" borderId="18" xfId="0" applyFont="1" applyBorder="1" applyAlignment="1">
      <alignment horizontal="center" wrapText="1"/>
    </xf>
    <xf numFmtId="0" fontId="31" fillId="0" borderId="19" xfId="0" applyFont="1" applyBorder="1" applyAlignment="1">
      <alignment horizontal="center" wrapText="1"/>
    </xf>
    <xf numFmtId="0" fontId="10" fillId="0" borderId="1" xfId="0" applyFont="1" applyBorder="1" applyAlignment="1">
      <alignment horizontal="left"/>
    </xf>
    <xf numFmtId="0" fontId="10" fillId="0" borderId="1" xfId="0" applyFont="1" applyFill="1" applyBorder="1" applyAlignment="1">
      <alignment horizontal="left" vertical="center" wrapText="1"/>
    </xf>
    <xf numFmtId="0" fontId="23" fillId="0" borderId="2" xfId="0" applyFont="1" applyBorder="1" applyAlignment="1">
      <alignment horizontal="left" wrapText="1"/>
    </xf>
    <xf numFmtId="0" fontId="23" fillId="0" borderId="4" xfId="0" applyFont="1" applyBorder="1" applyAlignment="1">
      <alignment horizontal="left" wrapText="1"/>
    </xf>
    <xf numFmtId="0" fontId="3" fillId="4" borderId="1" xfId="0" applyFont="1" applyFill="1" applyBorder="1" applyAlignment="1">
      <alignment horizontal="center"/>
    </xf>
    <xf numFmtId="0" fontId="23" fillId="0" borderId="6" xfId="0" applyFont="1" applyBorder="1" applyAlignment="1">
      <alignment horizontal="center" wrapText="1"/>
    </xf>
    <xf numFmtId="0" fontId="23" fillId="0" borderId="7" xfId="0" applyFont="1" applyBorder="1" applyAlignment="1">
      <alignment horizontal="center" wrapText="1"/>
    </xf>
    <xf numFmtId="0" fontId="28" fillId="0" borderId="6" xfId="0" applyFont="1" applyBorder="1" applyAlignment="1">
      <alignment horizontal="center" wrapText="1"/>
    </xf>
    <xf numFmtId="0" fontId="28" fillId="0" borderId="7" xfId="0" applyFont="1" applyBorder="1" applyAlignment="1">
      <alignment horizontal="center" wrapText="1"/>
    </xf>
    <xf numFmtId="0" fontId="23" fillId="0" borderId="0" xfId="0" applyFont="1" applyBorder="1" applyAlignment="1">
      <alignment horizontal="left" wrapText="1"/>
    </xf>
    <xf numFmtId="0" fontId="9" fillId="0" borderId="1" xfId="0" applyFont="1" applyFill="1" applyBorder="1" applyAlignment="1">
      <alignment horizontal="left" vertical="center" wrapText="1"/>
    </xf>
  </cellXfs>
  <cellStyles count="3">
    <cellStyle name="Currency" xfId="2" builtinId="4"/>
    <cellStyle name="Normal" xfId="0" builtinId="0"/>
    <cellStyle name="Percent" xfId="1" builtinId="5"/>
  </cellStyles>
  <dxfs count="0"/>
  <tableStyles count="0" defaultTableStyle="TableStyleMedium2" defaultPivotStyle="PivotStyleLight16"/>
  <colors>
    <mruColors>
      <color rgb="FFCC99FF"/>
      <color rgb="FFFF99FF"/>
      <color rgb="FFCC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5</xdr:col>
      <xdr:colOff>183356</xdr:colOff>
      <xdr:row>5</xdr:row>
      <xdr:rowOff>114300</xdr:rowOff>
    </xdr:from>
    <xdr:to>
      <xdr:col>10</xdr:col>
      <xdr:colOff>447675</xdr:colOff>
      <xdr:row>10</xdr:row>
      <xdr:rowOff>114934</xdr:rowOff>
    </xdr:to>
    <xdr:pic>
      <xdr:nvPicPr>
        <xdr:cNvPr id="2" name="Picture 1" descr="CARB logo " title="California Air Resources Board"/>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7571" t="74500" r="50655" b="4500"/>
        <a:stretch/>
      </xdr:blipFill>
      <xdr:spPr bwMode="auto">
        <a:xfrm>
          <a:off x="3219450" y="1435894"/>
          <a:ext cx="3300413" cy="953134"/>
        </a:xfrm>
        <a:prstGeom prst="rect">
          <a:avLst/>
        </a:prstGeom>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0"/>
  </sheetPr>
  <dimension ref="A1:Q37"/>
  <sheetViews>
    <sheetView tabSelected="1" zoomScaleNormal="100" zoomScaleSheetLayoutView="80" workbookViewId="0">
      <selection activeCell="A26" sqref="A26"/>
    </sheetView>
  </sheetViews>
  <sheetFormatPr defaultRowHeight="15" x14ac:dyDescent="0.25"/>
  <cols>
    <col min="13" max="13" width="9.140625" customWidth="1"/>
  </cols>
  <sheetData>
    <row r="1" spans="1:16" s="736" customFormat="1" ht="27.6" customHeight="1" x14ac:dyDescent="0.35">
      <c r="A1" s="744" t="s">
        <v>941</v>
      </c>
      <c r="B1" s="744"/>
      <c r="C1" s="744"/>
      <c r="D1" s="744"/>
      <c r="E1" s="744"/>
      <c r="F1" s="744"/>
      <c r="G1" s="744"/>
      <c r="H1" s="744"/>
      <c r="I1" s="744"/>
      <c r="J1" s="744"/>
      <c r="K1" s="744"/>
      <c r="L1" s="744"/>
      <c r="M1" s="744"/>
      <c r="N1" s="744"/>
      <c r="O1" s="744"/>
      <c r="P1" s="744"/>
    </row>
    <row r="2" spans="1:16" s="736" customFormat="1" ht="21" x14ac:dyDescent="0.35">
      <c r="A2" s="744" t="s">
        <v>939</v>
      </c>
      <c r="B2" s="744"/>
      <c r="C2" s="744"/>
      <c r="D2" s="744"/>
      <c r="E2" s="744"/>
      <c r="F2" s="744"/>
      <c r="G2" s="744"/>
      <c r="H2" s="744"/>
      <c r="I2" s="744"/>
      <c r="J2" s="744"/>
      <c r="K2" s="744"/>
      <c r="L2" s="744"/>
      <c r="M2" s="744"/>
      <c r="N2" s="744"/>
      <c r="O2" s="744"/>
      <c r="P2" s="744"/>
    </row>
    <row r="3" spans="1:16" s="736" customFormat="1" ht="21" x14ac:dyDescent="0.35">
      <c r="A3" s="744" t="s">
        <v>491</v>
      </c>
      <c r="B3" s="744"/>
      <c r="C3" s="744"/>
      <c r="D3" s="744"/>
      <c r="E3" s="744"/>
      <c r="F3" s="744"/>
      <c r="G3" s="744"/>
      <c r="H3" s="744"/>
      <c r="I3" s="744"/>
      <c r="J3" s="744"/>
      <c r="K3" s="744"/>
      <c r="L3" s="744"/>
      <c r="M3" s="744"/>
      <c r="N3" s="744"/>
      <c r="O3" s="744"/>
      <c r="P3" s="744"/>
    </row>
    <row r="4" spans="1:16" s="736" customFormat="1" ht="21" x14ac:dyDescent="0.35">
      <c r="A4" s="743">
        <v>43678</v>
      </c>
      <c r="B4" s="743"/>
      <c r="C4" s="743"/>
      <c r="D4" s="743"/>
      <c r="E4" s="743"/>
      <c r="F4" s="743"/>
      <c r="G4" s="743"/>
      <c r="H4" s="743"/>
      <c r="I4" s="743"/>
      <c r="J4" s="743"/>
      <c r="K4" s="743"/>
      <c r="L4" s="743"/>
      <c r="M4" s="743"/>
      <c r="N4" s="743"/>
      <c r="O4" s="743"/>
      <c r="P4" s="743"/>
    </row>
    <row r="5" spans="1:16" x14ac:dyDescent="0.25">
      <c r="A5" s="731"/>
      <c r="B5" s="731"/>
      <c r="C5" s="731"/>
      <c r="D5" s="731"/>
      <c r="E5" s="731"/>
      <c r="F5" s="731"/>
      <c r="G5" s="731"/>
      <c r="H5" s="731"/>
      <c r="I5" s="731"/>
      <c r="J5" s="731"/>
      <c r="K5" s="731"/>
      <c r="L5" s="731"/>
      <c r="M5" s="731"/>
      <c r="N5" s="620"/>
      <c r="O5" s="620"/>
    </row>
    <row r="6" spans="1:16" x14ac:dyDescent="0.25">
      <c r="A6" s="731"/>
      <c r="B6" s="731"/>
      <c r="C6" s="731"/>
      <c r="D6" s="731"/>
      <c r="E6" s="731"/>
      <c r="F6" s="731"/>
      <c r="G6" s="731"/>
      <c r="H6" s="731"/>
      <c r="I6" s="731"/>
      <c r="J6" s="731"/>
      <c r="K6" s="731"/>
      <c r="L6" s="731"/>
      <c r="M6" s="731"/>
      <c r="N6" s="620"/>
      <c r="O6" s="620"/>
    </row>
    <row r="7" spans="1:16" x14ac:dyDescent="0.25">
      <c r="A7" s="731"/>
      <c r="B7" s="731"/>
      <c r="C7" s="731"/>
      <c r="D7" s="731"/>
      <c r="E7" s="731"/>
      <c r="F7" s="731"/>
      <c r="G7" s="731"/>
      <c r="H7" s="731"/>
      <c r="I7" s="731"/>
      <c r="J7" s="731"/>
      <c r="K7" s="731"/>
      <c r="L7" s="731"/>
      <c r="M7" s="731"/>
      <c r="O7" s="620"/>
    </row>
    <row r="8" spans="1:16" x14ac:dyDescent="0.25">
      <c r="A8" s="731"/>
      <c r="B8" s="731"/>
      <c r="C8" s="731"/>
      <c r="D8" s="731"/>
      <c r="E8" s="731"/>
      <c r="F8" s="731"/>
      <c r="G8" s="731"/>
      <c r="H8" s="731"/>
      <c r="I8" s="731"/>
      <c r="J8" s="731"/>
      <c r="K8" s="731"/>
      <c r="L8" s="731"/>
      <c r="M8" s="731"/>
    </row>
    <row r="9" spans="1:16" x14ac:dyDescent="0.25">
      <c r="A9" s="731"/>
      <c r="B9" s="731"/>
      <c r="C9" s="731"/>
      <c r="D9" s="731"/>
      <c r="E9" s="731"/>
      <c r="F9" s="731"/>
      <c r="G9" s="731"/>
      <c r="H9" s="731"/>
      <c r="I9" s="731"/>
      <c r="J9" s="731"/>
      <c r="K9" s="731"/>
      <c r="L9" s="731"/>
      <c r="M9" s="731"/>
    </row>
    <row r="10" spans="1:16" x14ac:dyDescent="0.25">
      <c r="A10" s="731"/>
      <c r="B10" s="731"/>
      <c r="C10" s="731"/>
      <c r="D10" s="731"/>
      <c r="E10" s="731"/>
      <c r="F10" s="731"/>
      <c r="G10" s="731"/>
      <c r="H10" s="731"/>
      <c r="I10" s="731"/>
      <c r="J10" s="731"/>
      <c r="K10" s="731"/>
      <c r="L10" s="731"/>
      <c r="M10" s="731"/>
    </row>
    <row r="11" spans="1:16" x14ac:dyDescent="0.25">
      <c r="A11" s="731"/>
      <c r="B11" s="731"/>
      <c r="C11" s="731"/>
      <c r="D11" s="731"/>
      <c r="E11" s="731"/>
      <c r="F11" s="731"/>
      <c r="G11" s="731"/>
      <c r="H11" s="731"/>
      <c r="I11" s="731"/>
      <c r="J11" s="731"/>
      <c r="K11" s="731"/>
      <c r="L11" s="731"/>
      <c r="M11" s="731"/>
    </row>
    <row r="12" spans="1:16" x14ac:dyDescent="0.25">
      <c r="A12" s="731"/>
      <c r="B12" s="731"/>
      <c r="C12" s="731"/>
      <c r="D12" s="731"/>
      <c r="E12" s="731"/>
      <c r="F12" s="731"/>
      <c r="G12" s="731"/>
      <c r="H12" s="731"/>
      <c r="I12" s="731"/>
      <c r="J12" s="731"/>
      <c r="K12" s="731"/>
      <c r="L12" s="731"/>
      <c r="M12" s="731"/>
    </row>
    <row r="13" spans="1:16" ht="15" customHeight="1" x14ac:dyDescent="0.25">
      <c r="A13" s="745" t="s">
        <v>940</v>
      </c>
      <c r="B13" s="745"/>
      <c r="C13" s="745"/>
      <c r="D13" s="745"/>
      <c r="E13" s="745"/>
      <c r="F13" s="745"/>
      <c r="G13" s="745"/>
      <c r="H13" s="745"/>
      <c r="I13" s="745"/>
      <c r="J13" s="745"/>
      <c r="K13" s="745"/>
      <c r="L13" s="745"/>
      <c r="M13" s="745"/>
      <c r="N13" s="745"/>
      <c r="O13" s="745"/>
      <c r="P13" s="745"/>
    </row>
    <row r="14" spans="1:16" ht="15" customHeight="1" x14ac:dyDescent="0.25">
      <c r="A14" s="745"/>
      <c r="B14" s="745"/>
      <c r="C14" s="745"/>
      <c r="D14" s="745"/>
      <c r="E14" s="745"/>
      <c r="F14" s="745"/>
      <c r="G14" s="745"/>
      <c r="H14" s="745"/>
      <c r="I14" s="745"/>
      <c r="J14" s="745"/>
      <c r="K14" s="745"/>
      <c r="L14" s="745"/>
      <c r="M14" s="745"/>
      <c r="N14" s="745"/>
      <c r="O14" s="745"/>
      <c r="P14" s="745"/>
    </row>
    <row r="15" spans="1:16" ht="15" customHeight="1" x14ac:dyDescent="0.25">
      <c r="A15" s="745"/>
      <c r="B15" s="745"/>
      <c r="C15" s="745"/>
      <c r="D15" s="745"/>
      <c r="E15" s="745"/>
      <c r="F15" s="745"/>
      <c r="G15" s="745"/>
      <c r="H15" s="745"/>
      <c r="I15" s="745"/>
      <c r="J15" s="745"/>
      <c r="K15" s="745"/>
      <c r="L15" s="745"/>
      <c r="M15" s="745"/>
      <c r="N15" s="745"/>
      <c r="O15" s="745"/>
      <c r="P15" s="745"/>
    </row>
    <row r="16" spans="1:16" ht="15" customHeight="1" x14ac:dyDescent="0.25">
      <c r="A16" s="745"/>
      <c r="B16" s="745"/>
      <c r="C16" s="745"/>
      <c r="D16" s="745"/>
      <c r="E16" s="745"/>
      <c r="F16" s="745"/>
      <c r="G16" s="745"/>
      <c r="H16" s="745"/>
      <c r="I16" s="745"/>
      <c r="J16" s="745"/>
      <c r="K16" s="745"/>
      <c r="L16" s="745"/>
      <c r="M16" s="745"/>
      <c r="N16" s="745"/>
      <c r="O16" s="745"/>
      <c r="P16" s="745"/>
    </row>
    <row r="17" spans="1:17" ht="15" customHeight="1" x14ac:dyDescent="0.25">
      <c r="A17" s="745"/>
      <c r="B17" s="745"/>
      <c r="C17" s="745"/>
      <c r="D17" s="745"/>
      <c r="E17" s="745"/>
      <c r="F17" s="745"/>
      <c r="G17" s="745"/>
      <c r="H17" s="745"/>
      <c r="I17" s="745"/>
      <c r="J17" s="745"/>
      <c r="K17" s="745"/>
      <c r="L17" s="745"/>
      <c r="M17" s="745"/>
      <c r="N17" s="745"/>
      <c r="O17" s="745"/>
      <c r="P17" s="745"/>
    </row>
    <row r="18" spans="1:17" ht="15" customHeight="1" x14ac:dyDescent="0.25">
      <c r="A18" s="745"/>
      <c r="B18" s="745"/>
      <c r="C18" s="745"/>
      <c r="D18" s="745"/>
      <c r="E18" s="745"/>
      <c r="F18" s="745"/>
      <c r="G18" s="745"/>
      <c r="H18" s="745"/>
      <c r="I18" s="745"/>
      <c r="J18" s="745"/>
      <c r="K18" s="745"/>
      <c r="L18" s="745"/>
      <c r="M18" s="745"/>
      <c r="N18" s="745"/>
      <c r="O18" s="745"/>
      <c r="P18" s="745"/>
    </row>
    <row r="19" spans="1:17" ht="15" customHeight="1" x14ac:dyDescent="0.25">
      <c r="A19" s="745"/>
      <c r="B19" s="745"/>
      <c r="C19" s="745"/>
      <c r="D19" s="745"/>
      <c r="E19" s="745"/>
      <c r="F19" s="745"/>
      <c r="G19" s="745"/>
      <c r="H19" s="745"/>
      <c r="I19" s="745"/>
      <c r="J19" s="745"/>
      <c r="K19" s="745"/>
      <c r="L19" s="745"/>
      <c r="M19" s="745"/>
      <c r="N19" s="745"/>
      <c r="O19" s="745"/>
      <c r="P19" s="745"/>
    </row>
    <row r="20" spans="1:17" ht="15" customHeight="1" x14ac:dyDescent="0.25">
      <c r="A20" s="745"/>
      <c r="B20" s="745"/>
      <c r="C20" s="745"/>
      <c r="D20" s="745"/>
      <c r="E20" s="745"/>
      <c r="F20" s="745"/>
      <c r="G20" s="745"/>
      <c r="H20" s="745"/>
      <c r="I20" s="745"/>
      <c r="J20" s="745"/>
      <c r="K20" s="745"/>
      <c r="L20" s="745"/>
      <c r="M20" s="745"/>
      <c r="N20" s="745"/>
      <c r="O20" s="745"/>
      <c r="P20" s="745"/>
    </row>
    <row r="21" spans="1:17" ht="15" customHeight="1" x14ac:dyDescent="0.25">
      <c r="A21" s="745"/>
      <c r="B21" s="745"/>
      <c r="C21" s="745"/>
      <c r="D21" s="745"/>
      <c r="E21" s="745"/>
      <c r="F21" s="745"/>
      <c r="G21" s="745"/>
      <c r="H21" s="745"/>
      <c r="I21" s="745"/>
      <c r="J21" s="745"/>
      <c r="K21" s="745"/>
      <c r="L21" s="745"/>
      <c r="M21" s="745"/>
      <c r="N21" s="745"/>
      <c r="O21" s="745"/>
      <c r="P21" s="745"/>
    </row>
    <row r="22" spans="1:17" ht="15" customHeight="1" x14ac:dyDescent="0.25">
      <c r="A22" s="745"/>
      <c r="B22" s="745"/>
      <c r="C22" s="745"/>
      <c r="D22" s="745"/>
      <c r="E22" s="745"/>
      <c r="F22" s="745"/>
      <c r="G22" s="745"/>
      <c r="H22" s="745"/>
      <c r="I22" s="745"/>
      <c r="J22" s="745"/>
      <c r="K22" s="745"/>
      <c r="L22" s="745"/>
      <c r="M22" s="745"/>
      <c r="N22" s="745"/>
      <c r="O22" s="745"/>
      <c r="P22" s="745"/>
    </row>
    <row r="23" spans="1:17" x14ac:dyDescent="0.25">
      <c r="A23" s="745"/>
      <c r="B23" s="745"/>
      <c r="C23" s="745"/>
      <c r="D23" s="745"/>
      <c r="E23" s="745"/>
      <c r="F23" s="745"/>
      <c r="G23" s="745"/>
      <c r="H23" s="745"/>
      <c r="I23" s="745"/>
      <c r="J23" s="745"/>
      <c r="K23" s="745"/>
      <c r="L23" s="745"/>
      <c r="M23" s="745"/>
      <c r="N23" s="745"/>
      <c r="O23" s="745"/>
      <c r="P23" s="745"/>
    </row>
    <row r="24" spans="1:17" x14ac:dyDescent="0.25">
      <c r="A24" s="731"/>
      <c r="B24" s="731"/>
      <c r="C24" s="731"/>
      <c r="D24" s="731"/>
      <c r="E24" s="731"/>
      <c r="F24" s="731"/>
      <c r="G24" s="731"/>
      <c r="H24" s="731"/>
      <c r="I24" s="731"/>
      <c r="J24" s="731"/>
      <c r="K24" s="731"/>
      <c r="L24" s="731"/>
      <c r="M24" s="731"/>
    </row>
    <row r="25" spans="1:17" x14ac:dyDescent="0.25">
      <c r="A25" s="731"/>
      <c r="B25" s="731"/>
      <c r="C25" s="731"/>
      <c r="D25" s="731"/>
      <c r="E25" s="731"/>
      <c r="F25" s="731"/>
      <c r="G25" s="731"/>
      <c r="H25" s="731"/>
      <c r="I25" s="731"/>
      <c r="J25" s="731"/>
      <c r="K25" s="731"/>
      <c r="L25" s="731"/>
      <c r="M25" s="731"/>
    </row>
    <row r="26" spans="1:17" ht="18.95" customHeight="1" x14ac:dyDescent="0.25">
      <c r="A26" s="732" t="s">
        <v>582</v>
      </c>
      <c r="B26" s="731"/>
      <c r="C26" s="731"/>
      <c r="D26" s="731"/>
      <c r="E26" s="731"/>
      <c r="F26" s="731"/>
      <c r="G26" s="731"/>
      <c r="H26" s="731"/>
      <c r="I26" s="731"/>
      <c r="J26" s="731"/>
      <c r="K26" s="731"/>
      <c r="L26" s="731"/>
      <c r="M26" s="731"/>
    </row>
    <row r="27" spans="1:17" x14ac:dyDescent="0.25">
      <c r="A27" s="731"/>
      <c r="B27" s="731"/>
      <c r="C27" s="731"/>
      <c r="D27" s="731"/>
      <c r="E27" s="731"/>
      <c r="F27" s="731"/>
      <c r="G27" s="731"/>
      <c r="H27" s="731"/>
      <c r="I27" s="731"/>
      <c r="J27" s="731"/>
      <c r="K27" s="731"/>
      <c r="L27" s="731"/>
      <c r="M27" s="731"/>
    </row>
    <row r="28" spans="1:17" ht="18.95" customHeight="1" x14ac:dyDescent="0.25">
      <c r="A28" s="742" t="s">
        <v>937</v>
      </c>
      <c r="B28" s="742"/>
      <c r="C28" s="742"/>
      <c r="D28" s="742"/>
      <c r="E28" s="742"/>
      <c r="F28" s="742"/>
      <c r="G28" s="742"/>
      <c r="H28" s="742"/>
      <c r="I28" s="742"/>
      <c r="J28" s="742"/>
      <c r="K28" s="742"/>
      <c r="L28" s="742"/>
      <c r="M28" s="742"/>
      <c r="N28" s="620"/>
    </row>
    <row r="29" spans="1:17" ht="18.95" customHeight="1" x14ac:dyDescent="0.25">
      <c r="A29" s="742" t="s">
        <v>496</v>
      </c>
      <c r="B29" s="742"/>
      <c r="C29" s="742"/>
      <c r="D29" s="742"/>
      <c r="E29" s="742"/>
      <c r="F29" s="742"/>
      <c r="G29" s="742"/>
      <c r="H29" s="742"/>
      <c r="I29" s="742"/>
      <c r="J29" s="742"/>
      <c r="K29" s="742"/>
      <c r="L29" s="742"/>
      <c r="M29" s="742"/>
    </row>
    <row r="30" spans="1:17" ht="18.95" customHeight="1" x14ac:dyDescent="0.25">
      <c r="A30" s="742" t="s">
        <v>938</v>
      </c>
      <c r="B30" s="742"/>
      <c r="C30" s="742"/>
      <c r="D30" s="742"/>
      <c r="E30" s="742"/>
      <c r="F30" s="742"/>
      <c r="G30" s="742"/>
      <c r="H30" s="742"/>
      <c r="I30" s="742"/>
      <c r="J30" s="742"/>
      <c r="K30" s="742"/>
      <c r="L30" s="742"/>
      <c r="M30" s="742"/>
      <c r="N30" s="742"/>
      <c r="O30" s="742"/>
      <c r="P30" s="742"/>
      <c r="Q30" s="738"/>
    </row>
    <row r="31" spans="1:17" x14ac:dyDescent="0.25">
      <c r="A31" s="1"/>
      <c r="B31" s="1"/>
      <c r="C31" s="1"/>
      <c r="D31" s="1"/>
      <c r="E31" s="1"/>
      <c r="F31" s="1"/>
      <c r="G31" s="1"/>
      <c r="H31" s="1"/>
      <c r="I31" s="1"/>
      <c r="J31" s="1"/>
      <c r="K31" s="1"/>
      <c r="L31" s="1"/>
      <c r="M31" s="1"/>
    </row>
    <row r="32" spans="1:17" x14ac:dyDescent="0.25">
      <c r="A32" s="1"/>
      <c r="B32" s="1"/>
      <c r="C32" s="1"/>
      <c r="D32" s="1"/>
      <c r="E32" s="1"/>
      <c r="F32" s="1"/>
      <c r="G32" s="1"/>
      <c r="H32" s="1"/>
      <c r="I32" s="1"/>
      <c r="J32" s="1"/>
      <c r="K32" s="1"/>
      <c r="L32" s="1"/>
      <c r="M32" s="1"/>
    </row>
    <row r="33" spans="1:13" x14ac:dyDescent="0.25">
      <c r="A33" s="1"/>
      <c r="B33" s="1"/>
      <c r="C33" s="1"/>
      <c r="D33" s="1"/>
      <c r="E33" s="1"/>
      <c r="F33" s="1"/>
      <c r="G33" s="1"/>
      <c r="H33" s="1"/>
      <c r="I33" s="1"/>
      <c r="J33" s="1"/>
      <c r="K33" s="1"/>
      <c r="L33" s="1"/>
      <c r="M33" s="1"/>
    </row>
    <row r="34" spans="1:13" x14ac:dyDescent="0.25">
      <c r="A34" s="1"/>
      <c r="B34" s="1"/>
      <c r="C34" s="1"/>
      <c r="D34" s="1"/>
      <c r="E34" s="1"/>
      <c r="F34" s="1"/>
      <c r="G34" s="1"/>
      <c r="H34" s="1"/>
      <c r="I34" s="1"/>
      <c r="J34" s="1"/>
      <c r="K34" s="1"/>
      <c r="L34" s="1"/>
      <c r="M34" s="1"/>
    </row>
    <row r="35" spans="1:13" x14ac:dyDescent="0.25">
      <c r="A35" s="1"/>
      <c r="B35" s="1"/>
      <c r="C35" s="1"/>
      <c r="D35" s="1"/>
      <c r="E35" s="1"/>
      <c r="F35" s="1"/>
      <c r="G35" s="1"/>
      <c r="H35" s="1"/>
      <c r="I35" s="1"/>
      <c r="J35" s="1"/>
      <c r="K35" s="1"/>
      <c r="L35" s="1"/>
      <c r="M35" s="1"/>
    </row>
    <row r="36" spans="1:13" x14ac:dyDescent="0.25">
      <c r="A36" s="1"/>
      <c r="B36" s="1"/>
      <c r="C36" s="1"/>
      <c r="D36" s="1"/>
      <c r="E36" s="1"/>
      <c r="F36" s="1"/>
      <c r="G36" s="1"/>
      <c r="H36" s="1"/>
      <c r="I36" s="1"/>
      <c r="J36" s="1"/>
      <c r="K36" s="1"/>
      <c r="L36" s="1"/>
      <c r="M36" s="1"/>
    </row>
    <row r="37" spans="1:13" x14ac:dyDescent="0.25">
      <c r="A37" s="1"/>
      <c r="B37" s="1"/>
      <c r="C37" s="1"/>
      <c r="D37" s="1"/>
      <c r="E37" s="1"/>
      <c r="F37" s="1"/>
      <c r="G37" s="1"/>
      <c r="H37" s="1"/>
      <c r="I37" s="1"/>
      <c r="J37" s="1"/>
      <c r="K37" s="1"/>
      <c r="L37" s="1"/>
      <c r="M37" s="1"/>
    </row>
  </sheetData>
  <sheetProtection algorithmName="SHA-512" hashValue="a7nsa5JRszyIwJ0snMv6LVw+h7BPJAPeOjGi2vJt29mD9LxvXRsxEHGqEJXpm1gdq9jxbI5pgSsaN7PF2TLkdg==" saltValue="VlAQbWEahDLrgnM/PB8JGw==" spinCount="100000" sheet="1" objects="1" scenarios="1"/>
  <mergeCells count="8">
    <mergeCell ref="A30:P30"/>
    <mergeCell ref="A4:P4"/>
    <mergeCell ref="A3:P3"/>
    <mergeCell ref="A2:P2"/>
    <mergeCell ref="A1:P1"/>
    <mergeCell ref="A13:P23"/>
    <mergeCell ref="A29:M29"/>
    <mergeCell ref="A28:M28"/>
  </mergeCells>
  <pageMargins left="0.7" right="0.7" top="0.75" bottom="0.75" header="0.3" footer="0.3"/>
  <pageSetup scale="79"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FFFF00"/>
  </sheetPr>
  <dimension ref="A1:V74"/>
  <sheetViews>
    <sheetView zoomScaleNormal="100" zoomScaleSheetLayoutView="80" workbookViewId="0">
      <selection activeCell="H21" sqref="H21"/>
    </sheetView>
  </sheetViews>
  <sheetFormatPr defaultColWidth="9.140625" defaultRowHeight="15" x14ac:dyDescent="0.25"/>
  <cols>
    <col min="1" max="1" width="42.42578125" style="1" customWidth="1"/>
    <col min="2" max="12" width="10.7109375" style="1" customWidth="1"/>
    <col min="13" max="22" width="12.140625" style="305" hidden="1" customWidth="1"/>
    <col min="23" max="16384" width="9.140625" style="1"/>
  </cols>
  <sheetData>
    <row r="1" spans="1:22" ht="18.75" x14ac:dyDescent="0.3">
      <c r="A1" s="2" t="s">
        <v>583</v>
      </c>
      <c r="H1" s="845" t="s">
        <v>386</v>
      </c>
      <c r="I1" s="846"/>
      <c r="J1" s="846"/>
      <c r="K1" s="847"/>
    </row>
    <row r="2" spans="1:22" x14ac:dyDescent="0.25">
      <c r="H2" s="788" t="s">
        <v>374</v>
      </c>
      <c r="I2" s="814"/>
      <c r="J2" s="814"/>
      <c r="K2" s="789"/>
    </row>
    <row r="4" spans="1:22" x14ac:dyDescent="0.25">
      <c r="A4" s="3" t="s">
        <v>919</v>
      </c>
    </row>
    <row r="6" spans="1:22" x14ac:dyDescent="0.25">
      <c r="A6" s="3" t="s">
        <v>397</v>
      </c>
    </row>
    <row r="7" spans="1:22" x14ac:dyDescent="0.25">
      <c r="A7" s="60" t="s">
        <v>77</v>
      </c>
      <c r="B7" s="12">
        <v>2021</v>
      </c>
      <c r="C7" s="12">
        <v>2022</v>
      </c>
      <c r="D7" s="12">
        <v>2023</v>
      </c>
      <c r="E7" s="12">
        <v>2024</v>
      </c>
      <c r="F7" s="12">
        <v>2025</v>
      </c>
      <c r="G7" s="12">
        <v>2026</v>
      </c>
      <c r="H7" s="12">
        <v>2027</v>
      </c>
      <c r="I7" s="12">
        <v>2028</v>
      </c>
      <c r="J7" s="12">
        <v>2029</v>
      </c>
      <c r="K7" s="12">
        <v>2030</v>
      </c>
      <c r="L7" s="12">
        <v>2031</v>
      </c>
      <c r="M7" s="306">
        <v>2032</v>
      </c>
      <c r="N7" s="306">
        <v>2033</v>
      </c>
      <c r="O7" s="306">
        <v>2034</v>
      </c>
      <c r="P7" s="306">
        <v>2035</v>
      </c>
      <c r="Q7" s="306">
        <v>2036</v>
      </c>
      <c r="R7" s="306">
        <v>2037</v>
      </c>
      <c r="S7" s="306">
        <v>2038</v>
      </c>
      <c r="T7" s="306">
        <v>2039</v>
      </c>
      <c r="U7" s="306">
        <v>2040</v>
      </c>
      <c r="V7" s="306">
        <v>2041</v>
      </c>
    </row>
    <row r="8" spans="1:22" x14ac:dyDescent="0.25">
      <c r="A8" s="58" t="s">
        <v>144</v>
      </c>
      <c r="B8" s="130">
        <v>6.1999999999999998E-3</v>
      </c>
      <c r="C8" s="130">
        <v>6.1999999999999998E-3</v>
      </c>
      <c r="D8" s="130">
        <v>6.1999999999999998E-3</v>
      </c>
      <c r="E8" s="130">
        <v>6.1999999999999998E-3</v>
      </c>
      <c r="F8" s="130">
        <v>6.1999999999999998E-3</v>
      </c>
      <c r="G8" s="130">
        <v>6.1999999999999998E-3</v>
      </c>
      <c r="H8" s="130">
        <v>6.1999999999999998E-3</v>
      </c>
      <c r="I8" s="130">
        <v>6.1999999999999998E-3</v>
      </c>
      <c r="J8" s="130">
        <v>6.1999999999999998E-3</v>
      </c>
      <c r="K8" s="130">
        <v>6.1999999999999998E-3</v>
      </c>
      <c r="L8" s="130">
        <v>6.1999999999999998E-3</v>
      </c>
      <c r="M8" s="307">
        <f>L8</f>
        <v>6.1999999999999998E-3</v>
      </c>
      <c r="N8" s="307">
        <f t="shared" ref="N8:S8" si="0">M8</f>
        <v>6.1999999999999998E-3</v>
      </c>
      <c r="O8" s="307">
        <f t="shared" si="0"/>
        <v>6.1999999999999998E-3</v>
      </c>
      <c r="P8" s="307">
        <f t="shared" si="0"/>
        <v>6.1999999999999998E-3</v>
      </c>
      <c r="Q8" s="307">
        <f t="shared" si="0"/>
        <v>6.1999999999999998E-3</v>
      </c>
      <c r="R8" s="307">
        <f t="shared" si="0"/>
        <v>6.1999999999999998E-3</v>
      </c>
      <c r="S8" s="307">
        <f t="shared" si="0"/>
        <v>6.1999999999999998E-3</v>
      </c>
      <c r="T8" s="307">
        <f t="shared" ref="T8:V8" si="1">S8</f>
        <v>6.1999999999999998E-3</v>
      </c>
      <c r="U8" s="307">
        <f t="shared" si="1"/>
        <v>6.1999999999999998E-3</v>
      </c>
      <c r="V8" s="307">
        <f t="shared" si="1"/>
        <v>6.1999999999999998E-3</v>
      </c>
    </row>
    <row r="9" spans="1:22" x14ac:dyDescent="0.25">
      <c r="A9" s="58" t="s">
        <v>14</v>
      </c>
      <c r="B9" s="130">
        <v>6.1999999999999998E-3</v>
      </c>
      <c r="C9" s="130">
        <v>6.1999999999999998E-3</v>
      </c>
      <c r="D9" s="130">
        <v>6.1999999999999998E-3</v>
      </c>
      <c r="E9" s="130">
        <v>6.1999999999999998E-3</v>
      </c>
      <c r="F9" s="130">
        <v>6.1999999999999998E-3</v>
      </c>
      <c r="G9" s="130">
        <v>6.1999999999999998E-3</v>
      </c>
      <c r="H9" s="130">
        <v>6.1999999999999998E-3</v>
      </c>
      <c r="I9" s="130">
        <v>6.1999999999999998E-3</v>
      </c>
      <c r="J9" s="130">
        <v>6.1999999999999998E-3</v>
      </c>
      <c r="K9" s="130">
        <v>6.1999999999999998E-3</v>
      </c>
      <c r="L9" s="130">
        <v>6.1999999999999998E-3</v>
      </c>
      <c r="M9" s="307">
        <f t="shared" ref="M9:S12" si="2">L9</f>
        <v>6.1999999999999998E-3</v>
      </c>
      <c r="N9" s="307">
        <f t="shared" si="2"/>
        <v>6.1999999999999998E-3</v>
      </c>
      <c r="O9" s="307">
        <f t="shared" si="2"/>
        <v>6.1999999999999998E-3</v>
      </c>
      <c r="P9" s="307">
        <f t="shared" si="2"/>
        <v>6.1999999999999998E-3</v>
      </c>
      <c r="Q9" s="307">
        <f t="shared" si="2"/>
        <v>6.1999999999999998E-3</v>
      </c>
      <c r="R9" s="307">
        <f t="shared" si="2"/>
        <v>6.1999999999999998E-3</v>
      </c>
      <c r="S9" s="307">
        <f t="shared" si="2"/>
        <v>6.1999999999999998E-3</v>
      </c>
      <c r="T9" s="307">
        <f t="shared" ref="T9:V9" si="3">S9</f>
        <v>6.1999999999999998E-3</v>
      </c>
      <c r="U9" s="307">
        <f t="shared" si="3"/>
        <v>6.1999999999999998E-3</v>
      </c>
      <c r="V9" s="307">
        <f t="shared" si="3"/>
        <v>6.1999999999999998E-3</v>
      </c>
    </row>
    <row r="10" spans="1:22" x14ac:dyDescent="0.25">
      <c r="A10" s="58" t="s">
        <v>822</v>
      </c>
      <c r="B10" s="59"/>
      <c r="C10" s="59"/>
      <c r="D10" s="59"/>
      <c r="E10" s="59"/>
      <c r="F10" s="130">
        <v>6.1999999999999998E-3</v>
      </c>
      <c r="G10" s="130">
        <v>6.1999999999999998E-3</v>
      </c>
      <c r="H10" s="130">
        <v>6.1999999999999998E-3</v>
      </c>
      <c r="I10" s="130">
        <v>6.1999999999999998E-3</v>
      </c>
      <c r="J10" s="130">
        <v>6.1999999999999998E-3</v>
      </c>
      <c r="K10" s="130">
        <v>6.1999999999999998E-3</v>
      </c>
      <c r="L10" s="130">
        <v>6.1999999999999998E-3</v>
      </c>
      <c r="M10" s="307">
        <f t="shared" si="2"/>
        <v>6.1999999999999998E-3</v>
      </c>
      <c r="N10" s="307">
        <f t="shared" si="2"/>
        <v>6.1999999999999998E-3</v>
      </c>
      <c r="O10" s="307">
        <f t="shared" si="2"/>
        <v>6.1999999999999998E-3</v>
      </c>
      <c r="P10" s="307">
        <f t="shared" si="2"/>
        <v>6.1999999999999998E-3</v>
      </c>
      <c r="Q10" s="307">
        <f t="shared" si="2"/>
        <v>6.1999999999999998E-3</v>
      </c>
      <c r="R10" s="307">
        <f t="shared" si="2"/>
        <v>6.1999999999999998E-3</v>
      </c>
      <c r="S10" s="307">
        <f t="shared" si="2"/>
        <v>6.1999999999999998E-3</v>
      </c>
      <c r="T10" s="307">
        <f t="shared" ref="T10:V10" si="4">S10</f>
        <v>6.1999999999999998E-3</v>
      </c>
      <c r="U10" s="307">
        <f t="shared" si="4"/>
        <v>6.1999999999999998E-3</v>
      </c>
      <c r="V10" s="307">
        <f t="shared" si="4"/>
        <v>6.1999999999999998E-3</v>
      </c>
    </row>
    <row r="11" spans="1:22" x14ac:dyDescent="0.25">
      <c r="A11" s="58" t="s">
        <v>520</v>
      </c>
      <c r="B11" s="59"/>
      <c r="C11" s="59"/>
      <c r="D11" s="59"/>
      <c r="E11" s="59"/>
      <c r="F11" s="131"/>
      <c r="G11" s="131"/>
      <c r="H11" s="130">
        <v>6.1999999999999998E-3</v>
      </c>
      <c r="I11" s="130">
        <v>6.1999999999999998E-3</v>
      </c>
      <c r="J11" s="130">
        <v>6.1999999999999998E-3</v>
      </c>
      <c r="K11" s="130">
        <v>6.1999999999999998E-3</v>
      </c>
      <c r="L11" s="130">
        <v>6.1999999999999998E-3</v>
      </c>
      <c r="M11" s="307">
        <f t="shared" si="2"/>
        <v>6.1999999999999998E-3</v>
      </c>
      <c r="N11" s="307">
        <f t="shared" si="2"/>
        <v>6.1999999999999998E-3</v>
      </c>
      <c r="O11" s="307">
        <f t="shared" si="2"/>
        <v>6.1999999999999998E-3</v>
      </c>
      <c r="P11" s="307">
        <f t="shared" si="2"/>
        <v>6.1999999999999998E-3</v>
      </c>
      <c r="Q11" s="307">
        <f t="shared" si="2"/>
        <v>6.1999999999999998E-3</v>
      </c>
      <c r="R11" s="307">
        <f t="shared" si="2"/>
        <v>6.1999999999999998E-3</v>
      </c>
      <c r="S11" s="307">
        <f t="shared" si="2"/>
        <v>6.1999999999999998E-3</v>
      </c>
      <c r="T11" s="307">
        <f t="shared" ref="T11:V11" si="5">S11</f>
        <v>6.1999999999999998E-3</v>
      </c>
      <c r="U11" s="307">
        <f t="shared" si="5"/>
        <v>6.1999999999999998E-3</v>
      </c>
      <c r="V11" s="307">
        <f t="shared" si="5"/>
        <v>6.1999999999999998E-3</v>
      </c>
    </row>
    <row r="12" spans="1:22" x14ac:dyDescent="0.25">
      <c r="A12" s="7" t="s">
        <v>566</v>
      </c>
      <c r="B12" s="59"/>
      <c r="C12" s="59"/>
      <c r="D12" s="59"/>
      <c r="E12" s="59"/>
      <c r="F12" s="131"/>
      <c r="G12" s="131"/>
      <c r="H12" s="131"/>
      <c r="I12" s="131"/>
      <c r="J12" s="130">
        <v>6.1999999999999998E-3</v>
      </c>
      <c r="K12" s="130">
        <v>6.1999999999999998E-3</v>
      </c>
      <c r="L12" s="130">
        <v>6.1999999999999998E-3</v>
      </c>
      <c r="M12" s="307">
        <f t="shared" si="2"/>
        <v>6.1999999999999998E-3</v>
      </c>
      <c r="N12" s="307">
        <f t="shared" si="2"/>
        <v>6.1999999999999998E-3</v>
      </c>
      <c r="O12" s="307">
        <f t="shared" si="2"/>
        <v>6.1999999999999998E-3</v>
      </c>
      <c r="P12" s="307">
        <f t="shared" si="2"/>
        <v>6.1999999999999998E-3</v>
      </c>
      <c r="Q12" s="307">
        <f t="shared" si="2"/>
        <v>6.1999999999999998E-3</v>
      </c>
      <c r="R12" s="307">
        <f t="shared" si="2"/>
        <v>6.1999999999999998E-3</v>
      </c>
      <c r="S12" s="307">
        <f t="shared" si="2"/>
        <v>6.1999999999999998E-3</v>
      </c>
      <c r="T12" s="307">
        <f t="shared" ref="T12:V12" si="6">S12</f>
        <v>6.1999999999999998E-3</v>
      </c>
      <c r="U12" s="307">
        <f t="shared" si="6"/>
        <v>6.1999999999999998E-3</v>
      </c>
      <c r="V12" s="307">
        <f t="shared" si="6"/>
        <v>6.1999999999999998E-3</v>
      </c>
    </row>
    <row r="13" spans="1:22" x14ac:dyDescent="0.25">
      <c r="A13" s="803" t="s">
        <v>163</v>
      </c>
      <c r="B13" s="803"/>
      <c r="C13" s="803"/>
      <c r="D13" s="803"/>
      <c r="E13" s="803"/>
      <c r="F13" s="803"/>
      <c r="G13" s="803"/>
      <c r="H13" s="803"/>
      <c r="I13" s="803"/>
      <c r="J13" s="803"/>
      <c r="K13" s="803"/>
      <c r="L13" s="803"/>
    </row>
    <row r="14" spans="1:22" x14ac:dyDescent="0.25">
      <c r="A14" s="786"/>
      <c r="B14" s="786"/>
      <c r="C14" s="786"/>
      <c r="D14" s="786"/>
      <c r="E14" s="786"/>
      <c r="F14" s="786"/>
      <c r="G14" s="786"/>
      <c r="H14" s="786"/>
      <c r="I14" s="786"/>
      <c r="J14" s="786"/>
      <c r="K14" s="786"/>
      <c r="L14" s="786"/>
    </row>
    <row r="16" spans="1:22" x14ac:dyDescent="0.25">
      <c r="A16" s="3" t="s">
        <v>398</v>
      </c>
    </row>
    <row r="17" spans="1:22" x14ac:dyDescent="0.25">
      <c r="A17" s="60" t="s">
        <v>77</v>
      </c>
      <c r="B17" s="12">
        <v>2021</v>
      </c>
      <c r="C17" s="12">
        <v>2022</v>
      </c>
      <c r="D17" s="12">
        <v>2023</v>
      </c>
      <c r="E17" s="12">
        <v>2024</v>
      </c>
      <c r="F17" s="12">
        <v>2025</v>
      </c>
      <c r="G17" s="12">
        <v>2026</v>
      </c>
      <c r="H17" s="12">
        <v>2027</v>
      </c>
      <c r="I17" s="12">
        <v>2028</v>
      </c>
      <c r="J17" s="12">
        <v>2029</v>
      </c>
      <c r="K17" s="12">
        <v>2030</v>
      </c>
      <c r="L17" s="12">
        <v>2031</v>
      </c>
      <c r="M17" s="306">
        <v>2032</v>
      </c>
      <c r="N17" s="306">
        <v>2033</v>
      </c>
      <c r="O17" s="306">
        <v>2034</v>
      </c>
      <c r="P17" s="306">
        <v>2035</v>
      </c>
      <c r="Q17" s="306">
        <v>2036</v>
      </c>
      <c r="R17" s="306">
        <v>2037</v>
      </c>
      <c r="S17" s="306">
        <v>2038</v>
      </c>
      <c r="T17" s="306">
        <v>2039</v>
      </c>
      <c r="U17" s="306">
        <v>2040</v>
      </c>
      <c r="V17" s="306">
        <v>2041</v>
      </c>
    </row>
    <row r="18" spans="1:22" x14ac:dyDescent="0.25">
      <c r="A18" s="58" t="s">
        <v>144</v>
      </c>
      <c r="B18" s="327">
        <v>0.03</v>
      </c>
      <c r="C18" s="327">
        <v>0.03</v>
      </c>
      <c r="D18" s="327">
        <v>0.03</v>
      </c>
      <c r="E18" s="327">
        <v>0.03</v>
      </c>
      <c r="F18" s="327">
        <v>0.03</v>
      </c>
      <c r="G18" s="327">
        <v>0.03</v>
      </c>
      <c r="H18" s="327">
        <v>0.03</v>
      </c>
      <c r="I18" s="327">
        <v>0.03</v>
      </c>
      <c r="J18" s="327">
        <v>0.03</v>
      </c>
      <c r="K18" s="327">
        <v>0.03</v>
      </c>
      <c r="L18" s="327">
        <v>0.03</v>
      </c>
      <c r="M18" s="307">
        <f>L18</f>
        <v>0.03</v>
      </c>
      <c r="N18" s="307">
        <f t="shared" ref="N18:V18" si="7">M18</f>
        <v>0.03</v>
      </c>
      <c r="O18" s="307">
        <f t="shared" si="7"/>
        <v>0.03</v>
      </c>
      <c r="P18" s="307">
        <f t="shared" si="7"/>
        <v>0.03</v>
      </c>
      <c r="Q18" s="307">
        <f t="shared" si="7"/>
        <v>0.03</v>
      </c>
      <c r="R18" s="307">
        <f t="shared" si="7"/>
        <v>0.03</v>
      </c>
      <c r="S18" s="307">
        <f t="shared" si="7"/>
        <v>0.03</v>
      </c>
      <c r="T18" s="307">
        <f t="shared" si="7"/>
        <v>0.03</v>
      </c>
      <c r="U18" s="307">
        <f t="shared" si="7"/>
        <v>0.03</v>
      </c>
      <c r="V18" s="307">
        <f t="shared" si="7"/>
        <v>0.03</v>
      </c>
    </row>
    <row r="19" spans="1:22" x14ac:dyDescent="0.25">
      <c r="A19" s="58" t="s">
        <v>14</v>
      </c>
      <c r="B19" s="327">
        <v>0.03</v>
      </c>
      <c r="C19" s="327">
        <v>0.03</v>
      </c>
      <c r="D19" s="327">
        <v>0.03</v>
      </c>
      <c r="E19" s="327">
        <v>0.03</v>
      </c>
      <c r="F19" s="327">
        <v>0.03</v>
      </c>
      <c r="G19" s="327">
        <v>0.03</v>
      </c>
      <c r="H19" s="327">
        <v>0.03</v>
      </c>
      <c r="I19" s="327">
        <v>0.03</v>
      </c>
      <c r="J19" s="327">
        <v>0.03</v>
      </c>
      <c r="K19" s="327">
        <v>0.03</v>
      </c>
      <c r="L19" s="327">
        <v>0.03</v>
      </c>
      <c r="M19" s="307">
        <f t="shared" ref="M19:V19" si="8">L19</f>
        <v>0.03</v>
      </c>
      <c r="N19" s="307">
        <f t="shared" si="8"/>
        <v>0.03</v>
      </c>
      <c r="O19" s="307">
        <f t="shared" si="8"/>
        <v>0.03</v>
      </c>
      <c r="P19" s="307">
        <f t="shared" si="8"/>
        <v>0.03</v>
      </c>
      <c r="Q19" s="307">
        <f t="shared" si="8"/>
        <v>0.03</v>
      </c>
      <c r="R19" s="307">
        <f t="shared" si="8"/>
        <v>0.03</v>
      </c>
      <c r="S19" s="307">
        <f t="shared" si="8"/>
        <v>0.03</v>
      </c>
      <c r="T19" s="307">
        <f t="shared" si="8"/>
        <v>0.03</v>
      </c>
      <c r="U19" s="307">
        <f t="shared" si="8"/>
        <v>0.03</v>
      </c>
      <c r="V19" s="307">
        <f t="shared" si="8"/>
        <v>0.03</v>
      </c>
    </row>
    <row r="20" spans="1:22" x14ac:dyDescent="0.25">
      <c r="A20" s="58" t="s">
        <v>822</v>
      </c>
      <c r="B20" s="328"/>
      <c r="C20" s="328"/>
      <c r="D20" s="328"/>
      <c r="E20" s="328"/>
      <c r="F20" s="327">
        <v>0.03</v>
      </c>
      <c r="G20" s="327">
        <v>0.03</v>
      </c>
      <c r="H20" s="327">
        <v>0.03</v>
      </c>
      <c r="I20" s="327">
        <v>0.03</v>
      </c>
      <c r="J20" s="327">
        <v>0.03</v>
      </c>
      <c r="K20" s="327">
        <v>0.03</v>
      </c>
      <c r="L20" s="327">
        <v>0.03</v>
      </c>
      <c r="M20" s="307">
        <f t="shared" ref="M20:V20" si="9">L20</f>
        <v>0.03</v>
      </c>
      <c r="N20" s="307">
        <f t="shared" si="9"/>
        <v>0.03</v>
      </c>
      <c r="O20" s="307">
        <f t="shared" si="9"/>
        <v>0.03</v>
      </c>
      <c r="P20" s="307">
        <f t="shared" si="9"/>
        <v>0.03</v>
      </c>
      <c r="Q20" s="307">
        <f t="shared" si="9"/>
        <v>0.03</v>
      </c>
      <c r="R20" s="307">
        <f t="shared" si="9"/>
        <v>0.03</v>
      </c>
      <c r="S20" s="307">
        <f t="shared" si="9"/>
        <v>0.03</v>
      </c>
      <c r="T20" s="307">
        <f t="shared" si="9"/>
        <v>0.03</v>
      </c>
      <c r="U20" s="307">
        <f t="shared" si="9"/>
        <v>0.03</v>
      </c>
      <c r="V20" s="307">
        <f t="shared" si="9"/>
        <v>0.03</v>
      </c>
    </row>
    <row r="21" spans="1:22" x14ac:dyDescent="0.25">
      <c r="A21" s="58" t="s">
        <v>520</v>
      </c>
      <c r="B21" s="328"/>
      <c r="C21" s="328"/>
      <c r="D21" s="328"/>
      <c r="E21" s="328"/>
      <c r="F21" s="328"/>
      <c r="G21" s="328"/>
      <c r="H21" s="327">
        <v>0.03</v>
      </c>
      <c r="I21" s="327">
        <v>0.03</v>
      </c>
      <c r="J21" s="327">
        <v>0.03</v>
      </c>
      <c r="K21" s="327">
        <v>0.03</v>
      </c>
      <c r="L21" s="327">
        <v>0.03</v>
      </c>
      <c r="M21" s="307">
        <f t="shared" ref="M21:V21" si="10">L21</f>
        <v>0.03</v>
      </c>
      <c r="N21" s="307">
        <f t="shared" si="10"/>
        <v>0.03</v>
      </c>
      <c r="O21" s="307">
        <f t="shared" si="10"/>
        <v>0.03</v>
      </c>
      <c r="P21" s="307">
        <f t="shared" si="10"/>
        <v>0.03</v>
      </c>
      <c r="Q21" s="307">
        <f t="shared" si="10"/>
        <v>0.03</v>
      </c>
      <c r="R21" s="307">
        <f t="shared" si="10"/>
        <v>0.03</v>
      </c>
      <c r="S21" s="307">
        <f t="shared" si="10"/>
        <v>0.03</v>
      </c>
      <c r="T21" s="307">
        <f t="shared" si="10"/>
        <v>0.03</v>
      </c>
      <c r="U21" s="307">
        <f t="shared" si="10"/>
        <v>0.03</v>
      </c>
      <c r="V21" s="307">
        <f t="shared" si="10"/>
        <v>0.03</v>
      </c>
    </row>
    <row r="22" spans="1:22" x14ac:dyDescent="0.25">
      <c r="A22" s="7" t="s">
        <v>566</v>
      </c>
      <c r="B22" s="328"/>
      <c r="C22" s="328"/>
      <c r="D22" s="328"/>
      <c r="E22" s="328"/>
      <c r="F22" s="328"/>
      <c r="G22" s="328"/>
      <c r="H22" s="328"/>
      <c r="I22" s="328"/>
      <c r="J22" s="327">
        <v>0.03</v>
      </c>
      <c r="K22" s="327">
        <v>0.03</v>
      </c>
      <c r="L22" s="327">
        <v>0.03</v>
      </c>
      <c r="M22" s="307">
        <f t="shared" ref="M22:V22" si="11">L22</f>
        <v>0.03</v>
      </c>
      <c r="N22" s="307">
        <f t="shared" si="11"/>
        <v>0.03</v>
      </c>
      <c r="O22" s="307">
        <f t="shared" si="11"/>
        <v>0.03</v>
      </c>
      <c r="P22" s="307">
        <f t="shared" si="11"/>
        <v>0.03</v>
      </c>
      <c r="Q22" s="307">
        <f t="shared" si="11"/>
        <v>0.03</v>
      </c>
      <c r="R22" s="307">
        <f t="shared" si="11"/>
        <v>0.03</v>
      </c>
      <c r="S22" s="307">
        <f t="shared" si="11"/>
        <v>0.03</v>
      </c>
      <c r="T22" s="307">
        <f t="shared" si="11"/>
        <v>0.03</v>
      </c>
      <c r="U22" s="307">
        <f t="shared" si="11"/>
        <v>0.03</v>
      </c>
      <c r="V22" s="307">
        <f t="shared" si="11"/>
        <v>0.03</v>
      </c>
    </row>
    <row r="23" spans="1:22" x14ac:dyDescent="0.25">
      <c r="A23" s="18" t="s">
        <v>164</v>
      </c>
    </row>
    <row r="24" spans="1:22" s="11" customFormat="1" x14ac:dyDescent="0.25">
      <c r="A24" s="132"/>
      <c r="M24" s="305"/>
      <c r="N24" s="305"/>
      <c r="O24" s="305"/>
      <c r="P24" s="305"/>
      <c r="Q24" s="305"/>
      <c r="R24" s="305"/>
      <c r="S24" s="305"/>
      <c r="T24" s="305"/>
      <c r="U24" s="305"/>
      <c r="V24" s="305"/>
    </row>
    <row r="26" spans="1:22" x14ac:dyDescent="0.25">
      <c r="A26" s="3" t="s">
        <v>159</v>
      </c>
    </row>
    <row r="27" spans="1:22" x14ac:dyDescent="0.25">
      <c r="A27" s="60" t="s">
        <v>77</v>
      </c>
      <c r="B27" s="12">
        <v>2021</v>
      </c>
      <c r="C27" s="12">
        <v>2022</v>
      </c>
      <c r="D27" s="12">
        <v>2023</v>
      </c>
      <c r="E27" s="12">
        <v>2024</v>
      </c>
      <c r="F27" s="12">
        <v>2025</v>
      </c>
      <c r="G27" s="12">
        <v>2026</v>
      </c>
      <c r="H27" s="12">
        <v>2027</v>
      </c>
      <c r="I27" s="12">
        <v>2028</v>
      </c>
      <c r="J27" s="12">
        <v>2029</v>
      </c>
      <c r="K27" s="12">
        <v>2030</v>
      </c>
      <c r="L27" s="12">
        <v>2031</v>
      </c>
      <c r="M27" s="306">
        <v>2032</v>
      </c>
      <c r="N27" s="306">
        <v>2033</v>
      </c>
      <c r="O27" s="306">
        <v>2034</v>
      </c>
      <c r="P27" s="306">
        <v>2035</v>
      </c>
      <c r="Q27" s="306">
        <v>2036</v>
      </c>
      <c r="R27" s="306">
        <v>2037</v>
      </c>
      <c r="S27" s="306">
        <v>2038</v>
      </c>
      <c r="T27" s="306">
        <v>2039</v>
      </c>
      <c r="U27" s="306">
        <v>2040</v>
      </c>
      <c r="V27" s="306">
        <v>2041</v>
      </c>
    </row>
    <row r="28" spans="1:22" x14ac:dyDescent="0.25">
      <c r="A28" s="58" t="s">
        <v>144</v>
      </c>
      <c r="B28" s="61">
        <v>0.05</v>
      </c>
      <c r="C28" s="61">
        <v>0.05</v>
      </c>
      <c r="D28" s="61">
        <v>0.03</v>
      </c>
      <c r="E28" s="61">
        <v>0.03</v>
      </c>
      <c r="F28" s="61">
        <v>0.03</v>
      </c>
      <c r="G28" s="61">
        <v>0.03</v>
      </c>
      <c r="H28" s="61">
        <v>0.03</v>
      </c>
      <c r="I28" s="61">
        <v>0.03</v>
      </c>
      <c r="J28" s="61">
        <v>0.03</v>
      </c>
      <c r="K28" s="61">
        <v>0.03</v>
      </c>
      <c r="L28" s="61">
        <v>0.03</v>
      </c>
      <c r="M28" s="308">
        <f>L28</f>
        <v>0.03</v>
      </c>
      <c r="N28" s="308">
        <f t="shared" ref="N28:V28" si="12">M28</f>
        <v>0.03</v>
      </c>
      <c r="O28" s="308">
        <f t="shared" si="12"/>
        <v>0.03</v>
      </c>
      <c r="P28" s="308">
        <f t="shared" si="12"/>
        <v>0.03</v>
      </c>
      <c r="Q28" s="308">
        <f t="shared" si="12"/>
        <v>0.03</v>
      </c>
      <c r="R28" s="308">
        <f t="shared" si="12"/>
        <v>0.03</v>
      </c>
      <c r="S28" s="308">
        <f t="shared" si="12"/>
        <v>0.03</v>
      </c>
      <c r="T28" s="308">
        <f t="shared" si="12"/>
        <v>0.03</v>
      </c>
      <c r="U28" s="308">
        <f t="shared" si="12"/>
        <v>0.03</v>
      </c>
      <c r="V28" s="308">
        <f t="shared" si="12"/>
        <v>0.03</v>
      </c>
    </row>
    <row r="29" spans="1:22" x14ac:dyDescent="0.25">
      <c r="A29" s="58" t="s">
        <v>14</v>
      </c>
      <c r="B29" s="61">
        <v>0.05</v>
      </c>
      <c r="C29" s="61">
        <v>0.05</v>
      </c>
      <c r="D29" s="61">
        <v>0.03</v>
      </c>
      <c r="E29" s="61">
        <v>0.03</v>
      </c>
      <c r="F29" s="61">
        <v>0.03</v>
      </c>
      <c r="G29" s="61">
        <v>0.03</v>
      </c>
      <c r="H29" s="61">
        <v>0.03</v>
      </c>
      <c r="I29" s="61">
        <v>0.03</v>
      </c>
      <c r="J29" s="61">
        <v>0.03</v>
      </c>
      <c r="K29" s="61">
        <v>0.03</v>
      </c>
      <c r="L29" s="61">
        <v>0.03</v>
      </c>
      <c r="M29" s="308">
        <f t="shared" ref="M29:V29" si="13">L29</f>
        <v>0.03</v>
      </c>
      <c r="N29" s="308">
        <f t="shared" si="13"/>
        <v>0.03</v>
      </c>
      <c r="O29" s="308">
        <f t="shared" si="13"/>
        <v>0.03</v>
      </c>
      <c r="P29" s="308">
        <f t="shared" si="13"/>
        <v>0.03</v>
      </c>
      <c r="Q29" s="308">
        <f t="shared" si="13"/>
        <v>0.03</v>
      </c>
      <c r="R29" s="308">
        <f t="shared" si="13"/>
        <v>0.03</v>
      </c>
      <c r="S29" s="308">
        <f t="shared" si="13"/>
        <v>0.03</v>
      </c>
      <c r="T29" s="308">
        <f t="shared" si="13"/>
        <v>0.03</v>
      </c>
      <c r="U29" s="308">
        <f t="shared" si="13"/>
        <v>0.03</v>
      </c>
      <c r="V29" s="308">
        <f t="shared" si="13"/>
        <v>0.03</v>
      </c>
    </row>
    <row r="30" spans="1:22" x14ac:dyDescent="0.25">
      <c r="A30" s="58" t="s">
        <v>822</v>
      </c>
      <c r="B30" s="59"/>
      <c r="C30" s="59"/>
      <c r="D30" s="59"/>
      <c r="E30" s="59"/>
      <c r="F30" s="61">
        <v>0.05</v>
      </c>
      <c r="G30" s="61">
        <v>0.03</v>
      </c>
      <c r="H30" s="61">
        <v>0.03</v>
      </c>
      <c r="I30" s="61">
        <v>0.03</v>
      </c>
      <c r="J30" s="61">
        <v>0.03</v>
      </c>
      <c r="K30" s="61">
        <v>0.03</v>
      </c>
      <c r="L30" s="61">
        <v>0.03</v>
      </c>
      <c r="M30" s="308">
        <f t="shared" ref="M30:V30" si="14">L30</f>
        <v>0.03</v>
      </c>
      <c r="N30" s="308">
        <f t="shared" si="14"/>
        <v>0.03</v>
      </c>
      <c r="O30" s="308">
        <f t="shared" si="14"/>
        <v>0.03</v>
      </c>
      <c r="P30" s="308">
        <f t="shared" si="14"/>
        <v>0.03</v>
      </c>
      <c r="Q30" s="308">
        <f t="shared" si="14"/>
        <v>0.03</v>
      </c>
      <c r="R30" s="308">
        <f t="shared" si="14"/>
        <v>0.03</v>
      </c>
      <c r="S30" s="308">
        <f t="shared" si="14"/>
        <v>0.03</v>
      </c>
      <c r="T30" s="308">
        <f t="shared" si="14"/>
        <v>0.03</v>
      </c>
      <c r="U30" s="308">
        <f t="shared" si="14"/>
        <v>0.03</v>
      </c>
      <c r="V30" s="308">
        <f t="shared" si="14"/>
        <v>0.03</v>
      </c>
    </row>
    <row r="31" spans="1:22" x14ac:dyDescent="0.25">
      <c r="A31" s="58" t="s">
        <v>520</v>
      </c>
      <c r="B31" s="59"/>
      <c r="C31" s="59"/>
      <c r="D31" s="59"/>
      <c r="E31" s="59"/>
      <c r="F31" s="59"/>
      <c r="G31" s="59"/>
      <c r="H31" s="61">
        <v>0.05</v>
      </c>
      <c r="I31" s="61">
        <v>0.03</v>
      </c>
      <c r="J31" s="61">
        <v>0.03</v>
      </c>
      <c r="K31" s="61">
        <v>0.03</v>
      </c>
      <c r="L31" s="61">
        <v>0.03</v>
      </c>
      <c r="M31" s="308">
        <f t="shared" ref="M31:V31" si="15">L31</f>
        <v>0.03</v>
      </c>
      <c r="N31" s="308">
        <f t="shared" si="15"/>
        <v>0.03</v>
      </c>
      <c r="O31" s="308">
        <f t="shared" si="15"/>
        <v>0.03</v>
      </c>
      <c r="P31" s="308">
        <f t="shared" si="15"/>
        <v>0.03</v>
      </c>
      <c r="Q31" s="308">
        <f t="shared" si="15"/>
        <v>0.03</v>
      </c>
      <c r="R31" s="308">
        <f t="shared" si="15"/>
        <v>0.03</v>
      </c>
      <c r="S31" s="308">
        <f t="shared" si="15"/>
        <v>0.03</v>
      </c>
      <c r="T31" s="308">
        <f t="shared" si="15"/>
        <v>0.03</v>
      </c>
      <c r="U31" s="308">
        <f t="shared" si="15"/>
        <v>0.03</v>
      </c>
      <c r="V31" s="308">
        <f t="shared" si="15"/>
        <v>0.03</v>
      </c>
    </row>
    <row r="32" spans="1:22" x14ac:dyDescent="0.25">
      <c r="A32" s="7" t="s">
        <v>566</v>
      </c>
      <c r="B32" s="59"/>
      <c r="C32" s="59"/>
      <c r="D32" s="59"/>
      <c r="E32" s="59"/>
      <c r="F32" s="59"/>
      <c r="G32" s="59"/>
      <c r="H32" s="59"/>
      <c r="I32" s="59"/>
      <c r="J32" s="61">
        <v>0.05</v>
      </c>
      <c r="K32" s="61">
        <v>0.03</v>
      </c>
      <c r="L32" s="61">
        <v>0.03</v>
      </c>
      <c r="M32" s="308">
        <f t="shared" ref="M32:V32" si="16">L32</f>
        <v>0.03</v>
      </c>
      <c r="N32" s="308">
        <f t="shared" si="16"/>
        <v>0.03</v>
      </c>
      <c r="O32" s="308">
        <f t="shared" si="16"/>
        <v>0.03</v>
      </c>
      <c r="P32" s="308">
        <f t="shared" si="16"/>
        <v>0.03</v>
      </c>
      <c r="Q32" s="308">
        <f t="shared" si="16"/>
        <v>0.03</v>
      </c>
      <c r="R32" s="308">
        <f t="shared" si="16"/>
        <v>0.03</v>
      </c>
      <c r="S32" s="308">
        <f t="shared" si="16"/>
        <v>0.03</v>
      </c>
      <c r="T32" s="308">
        <f t="shared" si="16"/>
        <v>0.03</v>
      </c>
      <c r="U32" s="308">
        <f t="shared" si="16"/>
        <v>0.03</v>
      </c>
      <c r="V32" s="308">
        <f t="shared" si="16"/>
        <v>0.03</v>
      </c>
    </row>
    <row r="33" spans="1:22" x14ac:dyDescent="0.25">
      <c r="A33" s="18" t="s">
        <v>920</v>
      </c>
    </row>
    <row r="35" spans="1:22" x14ac:dyDescent="0.25">
      <c r="A35" s="3" t="s">
        <v>160</v>
      </c>
      <c r="G35" s="11"/>
    </row>
    <row r="36" spans="1:22" x14ac:dyDescent="0.25">
      <c r="A36" s="60" t="s">
        <v>77</v>
      </c>
      <c r="B36" s="12">
        <v>2021</v>
      </c>
      <c r="C36" s="12">
        <v>2022</v>
      </c>
      <c r="D36" s="12">
        <v>2023</v>
      </c>
      <c r="E36" s="12">
        <v>2024</v>
      </c>
      <c r="F36" s="12">
        <v>2025</v>
      </c>
      <c r="G36" s="12">
        <v>2026</v>
      </c>
      <c r="H36" s="12">
        <v>2027</v>
      </c>
      <c r="I36" s="12">
        <v>2028</v>
      </c>
      <c r="J36" s="12">
        <v>2029</v>
      </c>
      <c r="K36" s="12">
        <v>2030</v>
      </c>
      <c r="L36" s="12">
        <v>2031</v>
      </c>
      <c r="M36" s="306">
        <v>2032</v>
      </c>
      <c r="N36" s="306">
        <v>2033</v>
      </c>
      <c r="O36" s="306">
        <v>2034</v>
      </c>
      <c r="P36" s="306">
        <v>2035</v>
      </c>
      <c r="Q36" s="306">
        <v>2036</v>
      </c>
      <c r="R36" s="306">
        <v>2037</v>
      </c>
      <c r="S36" s="306">
        <v>2038</v>
      </c>
      <c r="T36" s="306">
        <v>2039</v>
      </c>
      <c r="U36" s="306">
        <v>2040</v>
      </c>
      <c r="V36" s="306">
        <v>2041</v>
      </c>
    </row>
    <row r="37" spans="1:22" x14ac:dyDescent="0.25">
      <c r="A37" s="58" t="s">
        <v>144</v>
      </c>
      <c r="B37" s="61">
        <v>0.05</v>
      </c>
      <c r="C37" s="61">
        <v>0.05</v>
      </c>
      <c r="D37" s="61">
        <v>0.03</v>
      </c>
      <c r="E37" s="61">
        <v>0.03</v>
      </c>
      <c r="F37" s="61">
        <v>0.03</v>
      </c>
      <c r="G37" s="61">
        <v>0.03</v>
      </c>
      <c r="H37" s="61">
        <v>0.03</v>
      </c>
      <c r="I37" s="61">
        <v>0.03</v>
      </c>
      <c r="J37" s="61">
        <v>0.03</v>
      </c>
      <c r="K37" s="61">
        <v>0.03</v>
      </c>
      <c r="L37" s="61">
        <v>0.03</v>
      </c>
      <c r="M37" s="308">
        <f>L37</f>
        <v>0.03</v>
      </c>
      <c r="N37" s="308">
        <f t="shared" ref="N37:V37" si="17">M37</f>
        <v>0.03</v>
      </c>
      <c r="O37" s="308">
        <f t="shared" si="17"/>
        <v>0.03</v>
      </c>
      <c r="P37" s="308">
        <f t="shared" si="17"/>
        <v>0.03</v>
      </c>
      <c r="Q37" s="308">
        <f t="shared" si="17"/>
        <v>0.03</v>
      </c>
      <c r="R37" s="308">
        <f t="shared" si="17"/>
        <v>0.03</v>
      </c>
      <c r="S37" s="308">
        <f t="shared" si="17"/>
        <v>0.03</v>
      </c>
      <c r="T37" s="308">
        <f t="shared" si="17"/>
        <v>0.03</v>
      </c>
      <c r="U37" s="308">
        <f t="shared" si="17"/>
        <v>0.03</v>
      </c>
      <c r="V37" s="308">
        <f t="shared" si="17"/>
        <v>0.03</v>
      </c>
    </row>
    <row r="38" spans="1:22" x14ac:dyDescent="0.25">
      <c r="A38" s="58" t="s">
        <v>14</v>
      </c>
      <c r="B38" s="61">
        <v>0.05</v>
      </c>
      <c r="C38" s="61">
        <v>0.05</v>
      </c>
      <c r="D38" s="61">
        <v>0.03</v>
      </c>
      <c r="E38" s="61">
        <v>0.03</v>
      </c>
      <c r="F38" s="61">
        <v>0.03</v>
      </c>
      <c r="G38" s="61">
        <v>0.03</v>
      </c>
      <c r="H38" s="61">
        <v>0.03</v>
      </c>
      <c r="I38" s="61">
        <v>0.03</v>
      </c>
      <c r="J38" s="61">
        <v>0.03</v>
      </c>
      <c r="K38" s="61">
        <v>0.03</v>
      </c>
      <c r="L38" s="61">
        <v>0.03</v>
      </c>
      <c r="M38" s="308">
        <f t="shared" ref="M38:V38" si="18">L38</f>
        <v>0.03</v>
      </c>
      <c r="N38" s="308">
        <f t="shared" si="18"/>
        <v>0.03</v>
      </c>
      <c r="O38" s="308">
        <f t="shared" si="18"/>
        <v>0.03</v>
      </c>
      <c r="P38" s="308">
        <f t="shared" si="18"/>
        <v>0.03</v>
      </c>
      <c r="Q38" s="308">
        <f t="shared" si="18"/>
        <v>0.03</v>
      </c>
      <c r="R38" s="308">
        <f t="shared" si="18"/>
        <v>0.03</v>
      </c>
      <c r="S38" s="308">
        <f t="shared" si="18"/>
        <v>0.03</v>
      </c>
      <c r="T38" s="308">
        <f t="shared" si="18"/>
        <v>0.03</v>
      </c>
      <c r="U38" s="308">
        <f t="shared" si="18"/>
        <v>0.03</v>
      </c>
      <c r="V38" s="308">
        <f t="shared" si="18"/>
        <v>0.03</v>
      </c>
    </row>
    <row r="39" spans="1:22" x14ac:dyDescent="0.25">
      <c r="A39" s="58" t="s">
        <v>822</v>
      </c>
      <c r="B39" s="59"/>
      <c r="C39" s="59"/>
      <c r="D39" s="59"/>
      <c r="E39" s="59"/>
      <c r="F39" s="61">
        <v>0.05</v>
      </c>
      <c r="G39" s="61">
        <v>0.03</v>
      </c>
      <c r="H39" s="61">
        <v>0.03</v>
      </c>
      <c r="I39" s="61">
        <v>0.03</v>
      </c>
      <c r="J39" s="61">
        <v>0.03</v>
      </c>
      <c r="K39" s="61">
        <v>0.03</v>
      </c>
      <c r="L39" s="61">
        <v>0.03</v>
      </c>
      <c r="M39" s="308">
        <f t="shared" ref="M39:V39" si="19">L39</f>
        <v>0.03</v>
      </c>
      <c r="N39" s="308">
        <f t="shared" si="19"/>
        <v>0.03</v>
      </c>
      <c r="O39" s="308">
        <f t="shared" si="19"/>
        <v>0.03</v>
      </c>
      <c r="P39" s="308">
        <f t="shared" si="19"/>
        <v>0.03</v>
      </c>
      <c r="Q39" s="308">
        <f t="shared" si="19"/>
        <v>0.03</v>
      </c>
      <c r="R39" s="308">
        <f t="shared" si="19"/>
        <v>0.03</v>
      </c>
      <c r="S39" s="308">
        <f t="shared" si="19"/>
        <v>0.03</v>
      </c>
      <c r="T39" s="308">
        <f t="shared" si="19"/>
        <v>0.03</v>
      </c>
      <c r="U39" s="308">
        <f t="shared" si="19"/>
        <v>0.03</v>
      </c>
      <c r="V39" s="308">
        <f t="shared" si="19"/>
        <v>0.03</v>
      </c>
    </row>
    <row r="40" spans="1:22" x14ac:dyDescent="0.25">
      <c r="A40" s="58" t="s">
        <v>520</v>
      </c>
      <c r="B40" s="59"/>
      <c r="C40" s="59"/>
      <c r="D40" s="59"/>
      <c r="E40" s="59"/>
      <c r="F40" s="59"/>
      <c r="G40" s="59"/>
      <c r="H40" s="61">
        <v>0.05</v>
      </c>
      <c r="I40" s="61">
        <v>0.03</v>
      </c>
      <c r="J40" s="61">
        <v>0.03</v>
      </c>
      <c r="K40" s="61">
        <v>0.03</v>
      </c>
      <c r="L40" s="61">
        <v>0.03</v>
      </c>
      <c r="M40" s="308">
        <f t="shared" ref="M40:V40" si="20">L40</f>
        <v>0.03</v>
      </c>
      <c r="N40" s="308">
        <f t="shared" si="20"/>
        <v>0.03</v>
      </c>
      <c r="O40" s="308">
        <f t="shared" si="20"/>
        <v>0.03</v>
      </c>
      <c r="P40" s="308">
        <f t="shared" si="20"/>
        <v>0.03</v>
      </c>
      <c r="Q40" s="308">
        <f t="shared" si="20"/>
        <v>0.03</v>
      </c>
      <c r="R40" s="308">
        <f t="shared" si="20"/>
        <v>0.03</v>
      </c>
      <c r="S40" s="308">
        <f t="shared" si="20"/>
        <v>0.03</v>
      </c>
      <c r="T40" s="308">
        <f t="shared" si="20"/>
        <v>0.03</v>
      </c>
      <c r="U40" s="308">
        <f t="shared" si="20"/>
        <v>0.03</v>
      </c>
      <c r="V40" s="308">
        <f t="shared" si="20"/>
        <v>0.03</v>
      </c>
    </row>
    <row r="41" spans="1:22" x14ac:dyDescent="0.25">
      <c r="A41" s="7" t="s">
        <v>566</v>
      </c>
      <c r="B41" s="59"/>
      <c r="C41" s="59"/>
      <c r="D41" s="59"/>
      <c r="E41" s="59"/>
      <c r="F41" s="59"/>
      <c r="G41" s="59"/>
      <c r="H41" s="59"/>
      <c r="I41" s="59"/>
      <c r="J41" s="61">
        <v>0.05</v>
      </c>
      <c r="K41" s="61">
        <v>0.03</v>
      </c>
      <c r="L41" s="61">
        <v>0.03</v>
      </c>
      <c r="M41" s="308">
        <f t="shared" ref="M41:V41" si="21">L41</f>
        <v>0.03</v>
      </c>
      <c r="N41" s="308">
        <f t="shared" si="21"/>
        <v>0.03</v>
      </c>
      <c r="O41" s="308">
        <f t="shared" si="21"/>
        <v>0.03</v>
      </c>
      <c r="P41" s="308">
        <f t="shared" si="21"/>
        <v>0.03</v>
      </c>
      <c r="Q41" s="308">
        <f t="shared" si="21"/>
        <v>0.03</v>
      </c>
      <c r="R41" s="308">
        <f t="shared" si="21"/>
        <v>0.03</v>
      </c>
      <c r="S41" s="308">
        <f t="shared" si="21"/>
        <v>0.03</v>
      </c>
      <c r="T41" s="308">
        <f t="shared" si="21"/>
        <v>0.03</v>
      </c>
      <c r="U41" s="308">
        <f t="shared" si="21"/>
        <v>0.03</v>
      </c>
      <c r="V41" s="308">
        <f t="shared" si="21"/>
        <v>0.03</v>
      </c>
    </row>
    <row r="42" spans="1:22" x14ac:dyDescent="0.25">
      <c r="A42" s="18" t="s">
        <v>920</v>
      </c>
    </row>
    <row r="44" spans="1:22" x14ac:dyDescent="0.25">
      <c r="A44" s="3" t="s">
        <v>162</v>
      </c>
      <c r="G44" s="11"/>
    </row>
    <row r="45" spans="1:22" x14ac:dyDescent="0.25">
      <c r="A45" s="60" t="s">
        <v>77</v>
      </c>
      <c r="B45" s="12">
        <v>2021</v>
      </c>
      <c r="C45" s="12">
        <v>2022</v>
      </c>
      <c r="D45" s="12">
        <v>2023</v>
      </c>
      <c r="E45" s="12">
        <v>2024</v>
      </c>
      <c r="F45" s="12">
        <v>2025</v>
      </c>
      <c r="G45" s="12">
        <v>2026</v>
      </c>
      <c r="H45" s="12">
        <v>2027</v>
      </c>
      <c r="I45" s="12">
        <v>2028</v>
      </c>
      <c r="J45" s="12">
        <v>2029</v>
      </c>
      <c r="K45" s="12">
        <v>2030</v>
      </c>
      <c r="L45" s="12">
        <v>2031</v>
      </c>
      <c r="M45" s="306">
        <v>2032</v>
      </c>
      <c r="N45" s="306">
        <v>2033</v>
      </c>
      <c r="O45" s="306">
        <v>2034</v>
      </c>
      <c r="P45" s="306">
        <v>2035</v>
      </c>
      <c r="Q45" s="306">
        <v>2036</v>
      </c>
      <c r="R45" s="306">
        <v>2037</v>
      </c>
      <c r="S45" s="306">
        <v>2038</v>
      </c>
      <c r="T45" s="306">
        <v>2039</v>
      </c>
      <c r="U45" s="306">
        <v>2040</v>
      </c>
      <c r="V45" s="306">
        <v>2041</v>
      </c>
    </row>
    <row r="46" spans="1:22" x14ac:dyDescent="0.25">
      <c r="A46" s="58" t="s">
        <v>144</v>
      </c>
      <c r="B46" s="130">
        <v>4.9649532710280371E-3</v>
      </c>
      <c r="C46" s="130">
        <v>4.9649532710280371E-3</v>
      </c>
      <c r="D46" s="130">
        <v>4.9649532710280371E-3</v>
      </c>
      <c r="E46" s="130">
        <v>4.9649532710280371E-3</v>
      </c>
      <c r="F46" s="130">
        <v>4.9649532710280371E-3</v>
      </c>
      <c r="G46" s="130">
        <v>4.9649532710280371E-3</v>
      </c>
      <c r="H46" s="130">
        <v>4.9649532710280371E-3</v>
      </c>
      <c r="I46" s="130">
        <v>4.9649532710280371E-3</v>
      </c>
      <c r="J46" s="130">
        <v>4.9649532710280371E-3</v>
      </c>
      <c r="K46" s="130">
        <v>4.9649532710280371E-3</v>
      </c>
      <c r="L46" s="130">
        <v>4.9649532710280371E-3</v>
      </c>
      <c r="M46" s="307">
        <f>L46</f>
        <v>4.9649532710280371E-3</v>
      </c>
      <c r="N46" s="307">
        <f t="shared" ref="N46:V46" si="22">M46</f>
        <v>4.9649532710280371E-3</v>
      </c>
      <c r="O46" s="307">
        <f t="shared" si="22"/>
        <v>4.9649532710280371E-3</v>
      </c>
      <c r="P46" s="307">
        <f t="shared" si="22"/>
        <v>4.9649532710280371E-3</v>
      </c>
      <c r="Q46" s="307">
        <f t="shared" si="22"/>
        <v>4.9649532710280371E-3</v>
      </c>
      <c r="R46" s="307">
        <f t="shared" si="22"/>
        <v>4.9649532710280371E-3</v>
      </c>
      <c r="S46" s="307">
        <f t="shared" si="22"/>
        <v>4.9649532710280371E-3</v>
      </c>
      <c r="T46" s="307">
        <f t="shared" si="22"/>
        <v>4.9649532710280371E-3</v>
      </c>
      <c r="U46" s="307">
        <f t="shared" si="22"/>
        <v>4.9649532710280371E-3</v>
      </c>
      <c r="V46" s="307">
        <f t="shared" si="22"/>
        <v>4.9649532710280371E-3</v>
      </c>
    </row>
    <row r="47" spans="1:22" x14ac:dyDescent="0.25">
      <c r="A47" s="58" t="s">
        <v>14</v>
      </c>
      <c r="B47" s="130">
        <v>4.9649532710280371E-3</v>
      </c>
      <c r="C47" s="130">
        <v>4.9649532710280371E-3</v>
      </c>
      <c r="D47" s="130">
        <v>4.9649532710280371E-3</v>
      </c>
      <c r="E47" s="130">
        <v>4.9649532710280371E-3</v>
      </c>
      <c r="F47" s="130">
        <v>4.9649532710280371E-3</v>
      </c>
      <c r="G47" s="130">
        <v>4.9649532710280371E-3</v>
      </c>
      <c r="H47" s="130">
        <v>4.9649532710280371E-3</v>
      </c>
      <c r="I47" s="130">
        <v>4.9649532710280371E-3</v>
      </c>
      <c r="J47" s="130">
        <v>4.9649532710280371E-3</v>
      </c>
      <c r="K47" s="130">
        <v>4.9649532710280371E-3</v>
      </c>
      <c r="L47" s="130">
        <v>4.9649532710280371E-3</v>
      </c>
      <c r="M47" s="307">
        <f t="shared" ref="M47:V47" si="23">L47</f>
        <v>4.9649532710280371E-3</v>
      </c>
      <c r="N47" s="307">
        <f t="shared" si="23"/>
        <v>4.9649532710280371E-3</v>
      </c>
      <c r="O47" s="307">
        <f t="shared" si="23"/>
        <v>4.9649532710280371E-3</v>
      </c>
      <c r="P47" s="307">
        <f t="shared" si="23"/>
        <v>4.9649532710280371E-3</v>
      </c>
      <c r="Q47" s="307">
        <f t="shared" si="23"/>
        <v>4.9649532710280371E-3</v>
      </c>
      <c r="R47" s="307">
        <f t="shared" si="23"/>
        <v>4.9649532710280371E-3</v>
      </c>
      <c r="S47" s="307">
        <f t="shared" si="23"/>
        <v>4.9649532710280371E-3</v>
      </c>
      <c r="T47" s="307">
        <f t="shared" si="23"/>
        <v>4.9649532710280371E-3</v>
      </c>
      <c r="U47" s="307">
        <f t="shared" si="23"/>
        <v>4.9649532710280371E-3</v>
      </c>
      <c r="V47" s="307">
        <f t="shared" si="23"/>
        <v>4.9649532710280371E-3</v>
      </c>
    </row>
    <row r="48" spans="1:22" x14ac:dyDescent="0.25">
      <c r="A48" s="58" t="s">
        <v>822</v>
      </c>
      <c r="B48" s="131"/>
      <c r="C48" s="131"/>
      <c r="D48" s="131"/>
      <c r="E48" s="131"/>
      <c r="F48" s="130">
        <v>4.9649532710280371E-3</v>
      </c>
      <c r="G48" s="130">
        <v>4.9649532710280371E-3</v>
      </c>
      <c r="H48" s="130">
        <v>4.9649532710280371E-3</v>
      </c>
      <c r="I48" s="130">
        <v>4.9649532710280371E-3</v>
      </c>
      <c r="J48" s="130">
        <v>4.9649532710280371E-3</v>
      </c>
      <c r="K48" s="130">
        <v>4.9649532710280371E-3</v>
      </c>
      <c r="L48" s="130">
        <v>4.9649532710280371E-3</v>
      </c>
      <c r="M48" s="307">
        <f t="shared" ref="M48:V48" si="24">L48</f>
        <v>4.9649532710280371E-3</v>
      </c>
      <c r="N48" s="307">
        <f t="shared" si="24"/>
        <v>4.9649532710280371E-3</v>
      </c>
      <c r="O48" s="307">
        <f t="shared" si="24"/>
        <v>4.9649532710280371E-3</v>
      </c>
      <c r="P48" s="307">
        <f t="shared" si="24"/>
        <v>4.9649532710280371E-3</v>
      </c>
      <c r="Q48" s="307">
        <f t="shared" si="24"/>
        <v>4.9649532710280371E-3</v>
      </c>
      <c r="R48" s="307">
        <f t="shared" si="24"/>
        <v>4.9649532710280371E-3</v>
      </c>
      <c r="S48" s="307">
        <f t="shared" si="24"/>
        <v>4.9649532710280371E-3</v>
      </c>
      <c r="T48" s="307">
        <f t="shared" si="24"/>
        <v>4.9649532710280371E-3</v>
      </c>
      <c r="U48" s="307">
        <f t="shared" si="24"/>
        <v>4.9649532710280371E-3</v>
      </c>
      <c r="V48" s="307">
        <f t="shared" si="24"/>
        <v>4.9649532710280371E-3</v>
      </c>
    </row>
    <row r="49" spans="1:22" x14ac:dyDescent="0.25">
      <c r="A49" s="58" t="s">
        <v>520</v>
      </c>
      <c r="B49" s="131"/>
      <c r="C49" s="131"/>
      <c r="D49" s="131"/>
      <c r="E49" s="131"/>
      <c r="F49" s="131"/>
      <c r="G49" s="131"/>
      <c r="H49" s="130">
        <v>5.0000000000000001E-3</v>
      </c>
      <c r="I49" s="130">
        <v>5.0000000000000001E-3</v>
      </c>
      <c r="J49" s="130">
        <v>5.0000000000000001E-3</v>
      </c>
      <c r="K49" s="130">
        <v>5.0000000000000001E-3</v>
      </c>
      <c r="L49" s="130">
        <v>5.0000000000000001E-3</v>
      </c>
      <c r="M49" s="307">
        <f t="shared" ref="M49:V49" si="25">L49</f>
        <v>5.0000000000000001E-3</v>
      </c>
      <c r="N49" s="307">
        <f t="shared" si="25"/>
        <v>5.0000000000000001E-3</v>
      </c>
      <c r="O49" s="307">
        <f t="shared" si="25"/>
        <v>5.0000000000000001E-3</v>
      </c>
      <c r="P49" s="307">
        <f t="shared" si="25"/>
        <v>5.0000000000000001E-3</v>
      </c>
      <c r="Q49" s="307">
        <f t="shared" si="25"/>
        <v>5.0000000000000001E-3</v>
      </c>
      <c r="R49" s="307">
        <f t="shared" si="25"/>
        <v>5.0000000000000001E-3</v>
      </c>
      <c r="S49" s="307">
        <f t="shared" si="25"/>
        <v>5.0000000000000001E-3</v>
      </c>
      <c r="T49" s="307">
        <f t="shared" si="25"/>
        <v>5.0000000000000001E-3</v>
      </c>
      <c r="U49" s="307">
        <f t="shared" si="25"/>
        <v>5.0000000000000001E-3</v>
      </c>
      <c r="V49" s="307">
        <f t="shared" si="25"/>
        <v>5.0000000000000001E-3</v>
      </c>
    </row>
    <row r="50" spans="1:22" x14ac:dyDescent="0.25">
      <c r="A50" s="7" t="s">
        <v>566</v>
      </c>
      <c r="B50" s="131"/>
      <c r="C50" s="131"/>
      <c r="D50" s="131"/>
      <c r="E50" s="131"/>
      <c r="F50" s="131"/>
      <c r="G50" s="131"/>
      <c r="H50" s="131"/>
      <c r="I50" s="131"/>
      <c r="J50" s="130">
        <v>5.0000000000000001E-3</v>
      </c>
      <c r="K50" s="130">
        <v>5.0000000000000001E-3</v>
      </c>
      <c r="L50" s="130">
        <v>5.0000000000000001E-3</v>
      </c>
      <c r="M50" s="307">
        <f t="shared" ref="M50:V50" si="26">L50</f>
        <v>5.0000000000000001E-3</v>
      </c>
      <c r="N50" s="307">
        <f t="shared" si="26"/>
        <v>5.0000000000000001E-3</v>
      </c>
      <c r="O50" s="307">
        <f t="shared" si="26"/>
        <v>5.0000000000000001E-3</v>
      </c>
      <c r="P50" s="307">
        <f t="shared" si="26"/>
        <v>5.0000000000000001E-3</v>
      </c>
      <c r="Q50" s="307">
        <f t="shared" si="26"/>
        <v>5.0000000000000001E-3</v>
      </c>
      <c r="R50" s="307">
        <f t="shared" si="26"/>
        <v>5.0000000000000001E-3</v>
      </c>
      <c r="S50" s="307">
        <f t="shared" si="26"/>
        <v>5.0000000000000001E-3</v>
      </c>
      <c r="T50" s="307">
        <f t="shared" si="26"/>
        <v>5.0000000000000001E-3</v>
      </c>
      <c r="U50" s="307">
        <f t="shared" si="26"/>
        <v>5.0000000000000001E-3</v>
      </c>
      <c r="V50" s="307">
        <f t="shared" si="26"/>
        <v>5.0000000000000001E-3</v>
      </c>
    </row>
    <row r="51" spans="1:22" x14ac:dyDescent="0.25">
      <c r="A51" s="18" t="s">
        <v>164</v>
      </c>
    </row>
    <row r="52" spans="1:22" x14ac:dyDescent="0.25">
      <c r="A52" s="133" t="s">
        <v>395</v>
      </c>
      <c r="I52" s="134"/>
    </row>
    <row r="53" spans="1:22" x14ac:dyDescent="0.25">
      <c r="A53" s="18"/>
      <c r="I53" s="134"/>
    </row>
    <row r="54" spans="1:22" x14ac:dyDescent="0.25">
      <c r="A54" s="3" t="s">
        <v>161</v>
      </c>
      <c r="G54" s="11"/>
    </row>
    <row r="55" spans="1:22" x14ac:dyDescent="0.25">
      <c r="A55" s="60" t="s">
        <v>77</v>
      </c>
      <c r="B55" s="12">
        <v>2021</v>
      </c>
      <c r="C55" s="12">
        <v>2022</v>
      </c>
      <c r="D55" s="12">
        <v>2023</v>
      </c>
      <c r="E55" s="12">
        <v>2024</v>
      </c>
      <c r="F55" s="12">
        <v>2025</v>
      </c>
      <c r="G55" s="12">
        <v>2026</v>
      </c>
      <c r="H55" s="12">
        <v>2027</v>
      </c>
      <c r="I55" s="12">
        <v>2028</v>
      </c>
      <c r="J55" s="12">
        <v>2029</v>
      </c>
      <c r="K55" s="12">
        <v>2030</v>
      </c>
      <c r="L55" s="12">
        <v>2031</v>
      </c>
      <c r="M55" s="306">
        <v>2032</v>
      </c>
      <c r="N55" s="306">
        <v>2033</v>
      </c>
      <c r="O55" s="306">
        <v>2034</v>
      </c>
      <c r="P55" s="306">
        <v>2035</v>
      </c>
      <c r="Q55" s="306">
        <v>2036</v>
      </c>
      <c r="R55" s="306">
        <v>2037</v>
      </c>
      <c r="S55" s="306">
        <v>2038</v>
      </c>
      <c r="T55" s="306">
        <v>2039</v>
      </c>
      <c r="U55" s="306">
        <v>2040</v>
      </c>
      <c r="V55" s="306">
        <v>2041</v>
      </c>
    </row>
    <row r="56" spans="1:22" x14ac:dyDescent="0.25">
      <c r="A56" s="58" t="s">
        <v>144</v>
      </c>
      <c r="B56" s="130">
        <v>0</v>
      </c>
      <c r="C56" s="130">
        <v>0</v>
      </c>
      <c r="D56" s="130">
        <v>0</v>
      </c>
      <c r="E56" s="130">
        <v>0</v>
      </c>
      <c r="F56" s="130">
        <v>0</v>
      </c>
      <c r="G56" s="130">
        <v>0</v>
      </c>
      <c r="H56" s="130">
        <v>0</v>
      </c>
      <c r="I56" s="130">
        <v>0</v>
      </c>
      <c r="J56" s="130">
        <v>0</v>
      </c>
      <c r="K56" s="130">
        <v>0</v>
      </c>
      <c r="L56" s="130">
        <v>0</v>
      </c>
      <c r="M56" s="307">
        <f>L56</f>
        <v>0</v>
      </c>
      <c r="N56" s="307">
        <f t="shared" ref="N56:V56" si="27">M56</f>
        <v>0</v>
      </c>
      <c r="O56" s="307">
        <f t="shared" si="27"/>
        <v>0</v>
      </c>
      <c r="P56" s="307">
        <f t="shared" si="27"/>
        <v>0</v>
      </c>
      <c r="Q56" s="307">
        <f t="shared" si="27"/>
        <v>0</v>
      </c>
      <c r="R56" s="307">
        <f t="shared" si="27"/>
        <v>0</v>
      </c>
      <c r="S56" s="307">
        <f t="shared" si="27"/>
        <v>0</v>
      </c>
      <c r="T56" s="307">
        <f t="shared" si="27"/>
        <v>0</v>
      </c>
      <c r="U56" s="307">
        <f t="shared" si="27"/>
        <v>0</v>
      </c>
      <c r="V56" s="307">
        <f t="shared" si="27"/>
        <v>0</v>
      </c>
    </row>
    <row r="57" spans="1:22" x14ac:dyDescent="0.25">
      <c r="A57" s="58" t="s">
        <v>14</v>
      </c>
      <c r="B57" s="130">
        <v>0</v>
      </c>
      <c r="C57" s="130">
        <v>0</v>
      </c>
      <c r="D57" s="130">
        <v>0</v>
      </c>
      <c r="E57" s="130">
        <v>0</v>
      </c>
      <c r="F57" s="130">
        <v>0</v>
      </c>
      <c r="G57" s="130">
        <v>0</v>
      </c>
      <c r="H57" s="130">
        <v>0</v>
      </c>
      <c r="I57" s="130">
        <v>0</v>
      </c>
      <c r="J57" s="130">
        <v>0</v>
      </c>
      <c r="K57" s="130">
        <v>0</v>
      </c>
      <c r="L57" s="130">
        <v>0</v>
      </c>
      <c r="M57" s="307">
        <f t="shared" ref="M57:V57" si="28">L57</f>
        <v>0</v>
      </c>
      <c r="N57" s="307">
        <f t="shared" si="28"/>
        <v>0</v>
      </c>
      <c r="O57" s="307">
        <f t="shared" si="28"/>
        <v>0</v>
      </c>
      <c r="P57" s="307">
        <f t="shared" si="28"/>
        <v>0</v>
      </c>
      <c r="Q57" s="307">
        <f t="shared" si="28"/>
        <v>0</v>
      </c>
      <c r="R57" s="307">
        <f t="shared" si="28"/>
        <v>0</v>
      </c>
      <c r="S57" s="307">
        <f t="shared" si="28"/>
        <v>0</v>
      </c>
      <c r="T57" s="307">
        <f t="shared" si="28"/>
        <v>0</v>
      </c>
      <c r="U57" s="307">
        <f t="shared" si="28"/>
        <v>0</v>
      </c>
      <c r="V57" s="307">
        <f t="shared" si="28"/>
        <v>0</v>
      </c>
    </row>
    <row r="58" spans="1:22" x14ac:dyDescent="0.25">
      <c r="A58" s="58" t="s">
        <v>822</v>
      </c>
      <c r="B58" s="131"/>
      <c r="C58" s="131"/>
      <c r="D58" s="131"/>
      <c r="E58" s="131"/>
      <c r="F58" s="130">
        <v>0</v>
      </c>
      <c r="G58" s="130">
        <v>0</v>
      </c>
      <c r="H58" s="130">
        <v>0</v>
      </c>
      <c r="I58" s="130">
        <v>0</v>
      </c>
      <c r="J58" s="130">
        <v>0</v>
      </c>
      <c r="K58" s="130">
        <v>0</v>
      </c>
      <c r="L58" s="130">
        <v>0</v>
      </c>
      <c r="M58" s="307">
        <f t="shared" ref="M58:V58" si="29">L58</f>
        <v>0</v>
      </c>
      <c r="N58" s="307">
        <f t="shared" si="29"/>
        <v>0</v>
      </c>
      <c r="O58" s="307">
        <f t="shared" si="29"/>
        <v>0</v>
      </c>
      <c r="P58" s="307">
        <f t="shared" si="29"/>
        <v>0</v>
      </c>
      <c r="Q58" s="307">
        <f t="shared" si="29"/>
        <v>0</v>
      </c>
      <c r="R58" s="307">
        <f t="shared" si="29"/>
        <v>0</v>
      </c>
      <c r="S58" s="307">
        <f t="shared" si="29"/>
        <v>0</v>
      </c>
      <c r="T58" s="307">
        <f t="shared" si="29"/>
        <v>0</v>
      </c>
      <c r="U58" s="307">
        <f t="shared" si="29"/>
        <v>0</v>
      </c>
      <c r="V58" s="307">
        <f t="shared" si="29"/>
        <v>0</v>
      </c>
    </row>
    <row r="59" spans="1:22" x14ac:dyDescent="0.25">
      <c r="A59" s="58" t="s">
        <v>520</v>
      </c>
      <c r="B59" s="131"/>
      <c r="C59" s="131"/>
      <c r="D59" s="131"/>
      <c r="E59" s="131"/>
      <c r="F59" s="131"/>
      <c r="G59" s="131"/>
      <c r="H59" s="130">
        <v>1.7331022530329288E-3</v>
      </c>
      <c r="I59" s="130">
        <v>1.7331022530329288E-3</v>
      </c>
      <c r="J59" s="130">
        <v>1.7331022530329288E-3</v>
      </c>
      <c r="K59" s="130">
        <v>1.7331022530329288E-3</v>
      </c>
      <c r="L59" s="130">
        <v>1.7331022530329288E-3</v>
      </c>
      <c r="M59" s="307">
        <f t="shared" ref="M59:V59" si="30">L59</f>
        <v>1.7331022530329288E-3</v>
      </c>
      <c r="N59" s="307">
        <f t="shared" si="30"/>
        <v>1.7331022530329288E-3</v>
      </c>
      <c r="O59" s="307">
        <f t="shared" si="30"/>
        <v>1.7331022530329288E-3</v>
      </c>
      <c r="P59" s="307">
        <f t="shared" si="30"/>
        <v>1.7331022530329288E-3</v>
      </c>
      <c r="Q59" s="307">
        <f t="shared" si="30"/>
        <v>1.7331022530329288E-3</v>
      </c>
      <c r="R59" s="307">
        <f t="shared" si="30"/>
        <v>1.7331022530329288E-3</v>
      </c>
      <c r="S59" s="307">
        <f t="shared" si="30"/>
        <v>1.7331022530329288E-3</v>
      </c>
      <c r="T59" s="307">
        <f t="shared" si="30"/>
        <v>1.7331022530329288E-3</v>
      </c>
      <c r="U59" s="307">
        <f t="shared" si="30"/>
        <v>1.7331022530329288E-3</v>
      </c>
      <c r="V59" s="307">
        <f t="shared" si="30"/>
        <v>1.7331022530329288E-3</v>
      </c>
    </row>
    <row r="60" spans="1:22" x14ac:dyDescent="0.25">
      <c r="A60" s="7" t="s">
        <v>566</v>
      </c>
      <c r="B60" s="131"/>
      <c r="C60" s="131"/>
      <c r="D60" s="131"/>
      <c r="E60" s="131"/>
      <c r="F60" s="131"/>
      <c r="G60" s="131"/>
      <c r="H60" s="131"/>
      <c r="I60" s="131"/>
      <c r="J60" s="130">
        <v>0</v>
      </c>
      <c r="K60" s="130">
        <v>0</v>
      </c>
      <c r="L60" s="130">
        <v>0</v>
      </c>
      <c r="M60" s="307">
        <f t="shared" ref="M60:V60" si="31">L60</f>
        <v>0</v>
      </c>
      <c r="N60" s="307">
        <f t="shared" si="31"/>
        <v>0</v>
      </c>
      <c r="O60" s="307">
        <f t="shared" si="31"/>
        <v>0</v>
      </c>
      <c r="P60" s="307">
        <f t="shared" si="31"/>
        <v>0</v>
      </c>
      <c r="Q60" s="307">
        <f t="shared" si="31"/>
        <v>0</v>
      </c>
      <c r="R60" s="307">
        <f t="shared" si="31"/>
        <v>0</v>
      </c>
      <c r="S60" s="307">
        <f t="shared" si="31"/>
        <v>0</v>
      </c>
      <c r="T60" s="307">
        <f t="shared" si="31"/>
        <v>0</v>
      </c>
      <c r="U60" s="307">
        <f t="shared" si="31"/>
        <v>0</v>
      </c>
      <c r="V60" s="307">
        <f t="shared" si="31"/>
        <v>0</v>
      </c>
    </row>
    <row r="61" spans="1:22" x14ac:dyDescent="0.25">
      <c r="A61" s="18" t="s">
        <v>164</v>
      </c>
    </row>
    <row r="62" spans="1:22" x14ac:dyDescent="0.25">
      <c r="A62" s="861" t="s">
        <v>165</v>
      </c>
      <c r="B62" s="861"/>
      <c r="C62" s="861"/>
      <c r="D62" s="861"/>
      <c r="E62" s="861"/>
      <c r="F62" s="861"/>
      <c r="G62" s="861"/>
      <c r="H62" s="861"/>
      <c r="I62" s="861"/>
      <c r="J62" s="861"/>
      <c r="K62" s="861"/>
      <c r="L62" s="861"/>
    </row>
    <row r="63" spans="1:22" x14ac:dyDescent="0.25">
      <c r="A63" s="861"/>
      <c r="B63" s="861"/>
      <c r="C63" s="861"/>
      <c r="D63" s="861"/>
      <c r="E63" s="861"/>
      <c r="F63" s="861"/>
      <c r="G63" s="861"/>
      <c r="H63" s="861"/>
      <c r="I63" s="861"/>
      <c r="J63" s="861"/>
      <c r="K63" s="861"/>
      <c r="L63" s="861"/>
    </row>
    <row r="64" spans="1:22" x14ac:dyDescent="0.25">
      <c r="A64" s="18"/>
    </row>
    <row r="65" spans="1:3" x14ac:dyDescent="0.25">
      <c r="A65" s="3" t="s">
        <v>143</v>
      </c>
    </row>
    <row r="66" spans="1:3" ht="45" x14ac:dyDescent="0.25">
      <c r="A66" s="60" t="s">
        <v>77</v>
      </c>
      <c r="B66" s="62" t="s">
        <v>306</v>
      </c>
      <c r="C66" s="62" t="s">
        <v>307</v>
      </c>
    </row>
    <row r="67" spans="1:3" x14ac:dyDescent="0.25">
      <c r="A67" s="58" t="s">
        <v>81</v>
      </c>
      <c r="B67" s="293">
        <v>2394.8312637444401</v>
      </c>
      <c r="C67" s="293">
        <v>2394.8312637444401</v>
      </c>
    </row>
    <row r="68" spans="1:3" x14ac:dyDescent="0.25">
      <c r="A68" s="58" t="s">
        <v>14</v>
      </c>
      <c r="B68" s="293">
        <v>12879.379619372015</v>
      </c>
      <c r="C68" s="293">
        <v>12879.379619372015</v>
      </c>
    </row>
    <row r="69" spans="1:3" x14ac:dyDescent="0.25">
      <c r="A69" s="58" t="s">
        <v>822</v>
      </c>
      <c r="B69" s="293">
        <v>1514.8167132393064</v>
      </c>
      <c r="C69" s="293">
        <v>1514.8167132393064</v>
      </c>
    </row>
    <row r="70" spans="1:3" x14ac:dyDescent="0.25">
      <c r="A70" s="58" t="s">
        <v>83</v>
      </c>
      <c r="B70" s="293">
        <v>1782.9461465963395</v>
      </c>
      <c r="C70" s="293">
        <v>1782.9461465963395</v>
      </c>
    </row>
    <row r="71" spans="1:3" x14ac:dyDescent="0.25">
      <c r="A71" s="58" t="s">
        <v>82</v>
      </c>
      <c r="B71" s="293">
        <v>9872.6632384794721</v>
      </c>
      <c r="C71" s="293">
        <v>9872.6632384794721</v>
      </c>
    </row>
    <row r="72" spans="1:3" x14ac:dyDescent="0.25">
      <c r="A72" s="133" t="s">
        <v>308</v>
      </c>
    </row>
    <row r="73" spans="1:3" x14ac:dyDescent="0.25">
      <c r="A73" s="11"/>
    </row>
    <row r="74" spans="1:3" x14ac:dyDescent="0.25">
      <c r="A74" s="11"/>
    </row>
  </sheetData>
  <sheetProtection algorithmName="SHA-512" hashValue="G1OV6/9JPJCGN0RNYIcKMRxH7gsTz1G5f5BcVvxaKozg78hQ84Ki7ihydqxPXMUILmEjjjPlsQpb96348Q/rDw==" saltValue="wj3SGJAzQglSF7TlEWUFUA==" spinCount="100000" sheet="1" objects="1" scenarios="1"/>
  <mergeCells count="4">
    <mergeCell ref="A62:L63"/>
    <mergeCell ref="H1:K1"/>
    <mergeCell ref="H2:K2"/>
    <mergeCell ref="A13:L14"/>
  </mergeCells>
  <pageMargins left="0.7" right="0.7" top="0.75" bottom="0.75" header="0.3" footer="0.3"/>
  <pageSetup paperSize="5" orientation="landscape" r:id="rId1"/>
  <rowBreaks count="2" manualBreakCount="2">
    <brk id="34" max="16383" man="1"/>
    <brk id="64"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FFFF00"/>
  </sheetPr>
  <dimension ref="A1:AE213"/>
  <sheetViews>
    <sheetView zoomScaleNormal="100" zoomScaleSheetLayoutView="80" workbookViewId="0">
      <selection activeCell="D9" sqref="D9"/>
    </sheetView>
  </sheetViews>
  <sheetFormatPr defaultColWidth="9.140625" defaultRowHeight="15" x14ac:dyDescent="0.25"/>
  <cols>
    <col min="1" max="1" width="25.140625" style="1" customWidth="1"/>
    <col min="2" max="30" width="12.140625" style="1" customWidth="1"/>
    <col min="31" max="16384" width="9.140625" style="1"/>
  </cols>
  <sheetData>
    <row r="1" spans="1:31" ht="18.75" x14ac:dyDescent="0.3">
      <c r="A1" s="2" t="s">
        <v>185</v>
      </c>
      <c r="C1" s="845" t="s">
        <v>386</v>
      </c>
      <c r="D1" s="846"/>
      <c r="E1" s="846"/>
      <c r="F1" s="847"/>
    </row>
    <row r="2" spans="1:31" ht="15" customHeight="1" x14ac:dyDescent="0.3">
      <c r="A2" s="2"/>
      <c r="C2" s="788" t="s">
        <v>374</v>
      </c>
      <c r="D2" s="814"/>
      <c r="E2" s="814"/>
      <c r="F2" s="789"/>
    </row>
    <row r="3" spans="1:31" ht="15" customHeight="1" x14ac:dyDescent="0.3">
      <c r="A3" s="2"/>
      <c r="C3" s="815" t="s">
        <v>375</v>
      </c>
      <c r="D3" s="816"/>
      <c r="E3" s="816"/>
      <c r="F3" s="817"/>
    </row>
    <row r="4" spans="1:31" ht="15" customHeight="1" thickBot="1" x14ac:dyDescent="0.35">
      <c r="A4" s="2"/>
    </row>
    <row r="5" spans="1:31" ht="16.5" thickBot="1" x14ac:dyDescent="0.3">
      <c r="A5" s="15" t="s">
        <v>152</v>
      </c>
      <c r="N5" s="865" t="s">
        <v>199</v>
      </c>
      <c r="O5" s="866"/>
      <c r="P5" s="866"/>
      <c r="Q5" s="866"/>
      <c r="R5" s="867"/>
    </row>
    <row r="6" spans="1:31" ht="75.75" customHeight="1" x14ac:dyDescent="0.25">
      <c r="B6" s="83"/>
      <c r="C6" s="83"/>
      <c r="D6" s="83"/>
      <c r="E6" s="83"/>
      <c r="F6" s="83"/>
      <c r="G6" s="83"/>
      <c r="H6" s="83"/>
      <c r="I6" s="83"/>
      <c r="J6" s="83"/>
      <c r="K6" s="83"/>
      <c r="L6" s="83"/>
      <c r="M6" s="83"/>
      <c r="N6" s="343" t="s">
        <v>196</v>
      </c>
      <c r="O6" s="344" t="s">
        <v>196</v>
      </c>
      <c r="P6" s="344" t="s">
        <v>195</v>
      </c>
      <c r="Q6" s="344" t="s">
        <v>195</v>
      </c>
      <c r="R6" s="345" t="s">
        <v>197</v>
      </c>
      <c r="S6" s="83"/>
    </row>
    <row r="7" spans="1:31" s="6" customFormat="1" ht="285" x14ac:dyDescent="0.25">
      <c r="A7" s="868" t="s">
        <v>59</v>
      </c>
      <c r="B7" s="104" t="s">
        <v>182</v>
      </c>
      <c r="C7" s="139" t="s">
        <v>183</v>
      </c>
      <c r="D7" s="152" t="s">
        <v>911</v>
      </c>
      <c r="E7" s="358" t="s">
        <v>440</v>
      </c>
      <c r="F7" s="104" t="s">
        <v>166</v>
      </c>
      <c r="G7" s="140" t="s">
        <v>167</v>
      </c>
      <c r="H7" s="151" t="s">
        <v>180</v>
      </c>
      <c r="I7" s="151" t="s">
        <v>181</v>
      </c>
      <c r="J7" s="138" t="s">
        <v>169</v>
      </c>
      <c r="K7" s="138" t="s">
        <v>170</v>
      </c>
      <c r="L7" s="101" t="s">
        <v>171</v>
      </c>
      <c r="M7" s="118" t="s">
        <v>172</v>
      </c>
      <c r="N7" s="188" t="s">
        <v>914</v>
      </c>
      <c r="O7" s="339" t="s">
        <v>406</v>
      </c>
      <c r="P7" s="340" t="s">
        <v>915</v>
      </c>
      <c r="Q7" s="340" t="s">
        <v>407</v>
      </c>
      <c r="R7" s="201" t="s">
        <v>916</v>
      </c>
      <c r="U7" s="1"/>
      <c r="V7" s="1"/>
      <c r="W7" s="1"/>
      <c r="X7" s="1"/>
      <c r="Y7" s="1"/>
      <c r="Z7" s="1"/>
      <c r="AA7" s="1"/>
      <c r="AB7" s="1"/>
      <c r="AC7" s="1"/>
      <c r="AD7" s="1"/>
      <c r="AE7" s="1"/>
    </row>
    <row r="8" spans="1:31" s="6" customFormat="1" ht="15" customHeight="1" x14ac:dyDescent="0.25">
      <c r="A8" s="869"/>
      <c r="B8" s="885" t="s">
        <v>155</v>
      </c>
      <c r="C8" s="886"/>
      <c r="D8" s="886"/>
      <c r="E8" s="158"/>
      <c r="F8" s="877" t="s">
        <v>176</v>
      </c>
      <c r="G8" s="878"/>
      <c r="H8" s="878"/>
      <c r="I8" s="878"/>
      <c r="J8" s="878"/>
      <c r="K8" s="878"/>
      <c r="L8" s="878"/>
      <c r="M8" s="878"/>
      <c r="N8" s="878"/>
      <c r="O8" s="878"/>
      <c r="P8" s="878"/>
      <c r="Q8" s="878"/>
      <c r="R8" s="879"/>
      <c r="S8" s="191"/>
      <c r="T8" s="1"/>
      <c r="U8" s="1"/>
      <c r="V8" s="1"/>
      <c r="W8" s="1"/>
      <c r="X8" s="1"/>
      <c r="Y8" s="1"/>
      <c r="Z8" s="1"/>
      <c r="AA8" s="1"/>
      <c r="AB8" s="1"/>
      <c r="AC8" s="1"/>
      <c r="AD8" s="1"/>
      <c r="AE8" s="1"/>
    </row>
    <row r="9" spans="1:31" x14ac:dyDescent="0.25">
      <c r="A9" s="67" t="s">
        <v>0</v>
      </c>
      <c r="B9" s="105">
        <v>1029</v>
      </c>
      <c r="C9" s="103">
        <v>123</v>
      </c>
      <c r="D9" s="103">
        <v>21</v>
      </c>
      <c r="E9" s="159">
        <v>21</v>
      </c>
      <c r="F9" s="393">
        <f>$B9*'Exceptions &amp; Events'!$B$8</f>
        <v>6.3797999999999995</v>
      </c>
      <c r="G9" s="394">
        <f>$B9*'Exceptions &amp; Events'!$B$18</f>
        <v>30.869999999999997</v>
      </c>
      <c r="H9" s="394">
        <f>$B9*'Exceptions &amp; Events'!$B$28</f>
        <v>51.45</v>
      </c>
      <c r="I9" s="394">
        <f>$B9*'Exceptions &amp; Events'!$B$37</f>
        <v>51.45</v>
      </c>
      <c r="J9" s="394">
        <f>$B9*'Exceptions &amp; Events'!$B$46</f>
        <v>5.1089369158878499</v>
      </c>
      <c r="K9" s="394">
        <f>$B9*'Exceptions &amp; Events'!$B$56</f>
        <v>0</v>
      </c>
      <c r="L9" s="395">
        <f>$B9-SUM(F9:K9)</f>
        <v>883.74126308411212</v>
      </c>
      <c r="M9" s="396">
        <f>($B9-L9)/$B9</f>
        <v>0.14116495327102807</v>
      </c>
      <c r="N9" s="397">
        <f>IF(($C9-SUM($F9:$K9)-D9)&lt;0,0,$C9-SUM($F9:$K9))</f>
        <v>0</v>
      </c>
      <c r="O9" s="398">
        <f>IF(($C9-SUM($F9:$K9)-E9)&lt;0,0,$C9-SUM($F9:$K9))</f>
        <v>0</v>
      </c>
      <c r="P9" s="399">
        <f>IF(($C9-SUM($F9:$G9,$J9:$K9)-$D9)&lt;0,0,($C9-SUM($F9:$G9,$J9:$K9)-$D9))</f>
        <v>59.641263084112154</v>
      </c>
      <c r="Q9" s="400">
        <f>IF(($C9-SUM($F9:$G9,$J9:$K9)-$E9)&lt;0,0,($C9-SUM($F9:$G9,$J9:$K9)-$E9))</f>
        <v>59.641263084112154</v>
      </c>
      <c r="R9" s="417">
        <f>D9</f>
        <v>21</v>
      </c>
    </row>
    <row r="10" spans="1:31" x14ac:dyDescent="0.25">
      <c r="A10" s="67" t="s">
        <v>1</v>
      </c>
      <c r="B10" s="105">
        <v>909</v>
      </c>
      <c r="C10" s="103">
        <v>89</v>
      </c>
      <c r="D10" s="103">
        <v>34</v>
      </c>
      <c r="E10" s="159">
        <v>24</v>
      </c>
      <c r="F10" s="393">
        <f>$B10*'Exceptions &amp; Events'!$B$8</f>
        <v>5.6357999999999997</v>
      </c>
      <c r="G10" s="394">
        <f>$B10*'Exceptions &amp; Events'!$B$18</f>
        <v>27.27</v>
      </c>
      <c r="H10" s="394">
        <f>$B10*'Exceptions &amp; Events'!$B$28</f>
        <v>45.45</v>
      </c>
      <c r="I10" s="394">
        <f>$B10*'Exceptions &amp; Events'!$B$37</f>
        <v>45.45</v>
      </c>
      <c r="J10" s="394">
        <f>$B10*'Exceptions &amp; Events'!$B$46</f>
        <v>4.5131425233644853</v>
      </c>
      <c r="K10" s="394">
        <f>$B10*'Exceptions &amp; Events'!$B$56</f>
        <v>0</v>
      </c>
      <c r="L10" s="395">
        <f t="shared" ref="L10:L13" si="0">$B10-SUM(F10:K10)</f>
        <v>780.68105747663549</v>
      </c>
      <c r="M10" s="396">
        <f t="shared" ref="M10:M13" si="1">($B10-L10)/$B10</f>
        <v>0.14116495327102807</v>
      </c>
      <c r="N10" s="397">
        <f t="shared" ref="N10:N13" si="2">IF(($C10-SUM($F10:$K10)-D10)&lt;0,0,$C10-SUM($F10:$K10))</f>
        <v>0</v>
      </c>
      <c r="O10" s="398">
        <f t="shared" ref="O10:O13" si="3">IF(($C10-SUM($F10:$K10)-E10)&lt;0,0,$C10-SUM($F10:$K10))</f>
        <v>0</v>
      </c>
      <c r="P10" s="399">
        <f t="shared" ref="P10:P13" si="4">IF(($C10-SUM($F10:$G10,$J10:$K10)-$D10)&lt;0,0,($C10-SUM($F10:$G10,$J10:$K10)-$D10))</f>
        <v>17.581057476635515</v>
      </c>
      <c r="Q10" s="400">
        <f t="shared" ref="Q10:Q13" si="5">IF(($C10-SUM($F10:$G10,$J10:$K10)-$E10)&lt;0,0,($C10-SUM($F10:$G10,$J10:$K10)-$E10))</f>
        <v>27.581057476635515</v>
      </c>
      <c r="R10" s="417">
        <f>D10</f>
        <v>34</v>
      </c>
    </row>
    <row r="11" spans="1:31" x14ac:dyDescent="0.25">
      <c r="A11" s="67" t="s">
        <v>2</v>
      </c>
      <c r="B11" s="105">
        <v>1597</v>
      </c>
      <c r="C11" s="103">
        <v>191</v>
      </c>
      <c r="D11" s="103">
        <v>0</v>
      </c>
      <c r="E11" s="66">
        <v>0</v>
      </c>
      <c r="F11" s="393">
        <f>$B11*'Exceptions &amp; Events'!$B$8</f>
        <v>9.9013999999999989</v>
      </c>
      <c r="G11" s="394">
        <f>$B11*'Exceptions &amp; Events'!$B$18</f>
        <v>47.91</v>
      </c>
      <c r="H11" s="394">
        <f>$B11*'Exceptions &amp; Events'!$B$28</f>
        <v>79.850000000000009</v>
      </c>
      <c r="I11" s="394">
        <f>$B11*'Exceptions &amp; Events'!$B$37</f>
        <v>79.850000000000009</v>
      </c>
      <c r="J11" s="394">
        <f>$B11*'Exceptions &amp; Events'!$B$46</f>
        <v>7.9290303738317753</v>
      </c>
      <c r="K11" s="394">
        <f>$B11*'Exceptions &amp; Events'!$B$56</f>
        <v>0</v>
      </c>
      <c r="L11" s="395">
        <f t="shared" si="0"/>
        <v>1371.5595696261682</v>
      </c>
      <c r="M11" s="396">
        <f t="shared" si="1"/>
        <v>0.14116495327102802</v>
      </c>
      <c r="N11" s="397">
        <f t="shared" si="2"/>
        <v>0</v>
      </c>
      <c r="O11" s="398">
        <f t="shared" si="3"/>
        <v>0</v>
      </c>
      <c r="P11" s="399">
        <f t="shared" si="4"/>
        <v>125.25956962616823</v>
      </c>
      <c r="Q11" s="400">
        <f t="shared" si="5"/>
        <v>125.25956962616823</v>
      </c>
      <c r="R11" s="189">
        <v>0</v>
      </c>
    </row>
    <row r="12" spans="1:31" x14ac:dyDescent="0.25">
      <c r="A12" s="67" t="s">
        <v>4</v>
      </c>
      <c r="B12" s="105">
        <v>52</v>
      </c>
      <c r="C12" s="103">
        <v>0</v>
      </c>
      <c r="D12" s="103">
        <v>0</v>
      </c>
      <c r="E12" s="66">
        <v>0</v>
      </c>
      <c r="F12" s="393">
        <f>$B12*'Exceptions &amp; Events'!$B$8</f>
        <v>0.32239999999999996</v>
      </c>
      <c r="G12" s="394">
        <f>$B12*'Exceptions &amp; Events'!$B$18</f>
        <v>1.56</v>
      </c>
      <c r="H12" s="394">
        <f>$B12*'Exceptions &amp; Events'!$B$28</f>
        <v>2.6</v>
      </c>
      <c r="I12" s="394">
        <f>$B12*'Exceptions &amp; Events'!$B$37</f>
        <v>2.6</v>
      </c>
      <c r="J12" s="394">
        <f>$B12*'Exceptions &amp; Events'!$B$46</f>
        <v>0.25817757009345793</v>
      </c>
      <c r="K12" s="394">
        <f>$B12*'Exceptions &amp; Events'!$B$56</f>
        <v>0</v>
      </c>
      <c r="L12" s="395">
        <f t="shared" si="0"/>
        <v>44.659422429906542</v>
      </c>
      <c r="M12" s="396">
        <f t="shared" si="1"/>
        <v>0.14116495327102804</v>
      </c>
      <c r="N12" s="397">
        <f t="shared" si="2"/>
        <v>0</v>
      </c>
      <c r="O12" s="398">
        <f t="shared" si="3"/>
        <v>0</v>
      </c>
      <c r="P12" s="399">
        <f t="shared" si="4"/>
        <v>0</v>
      </c>
      <c r="Q12" s="400">
        <f t="shared" si="5"/>
        <v>0</v>
      </c>
      <c r="R12" s="189">
        <v>0</v>
      </c>
    </row>
    <row r="13" spans="1:31" ht="15.75" thickBot="1" x14ac:dyDescent="0.3">
      <c r="A13" s="109" t="s">
        <v>5</v>
      </c>
      <c r="B13" s="110">
        <v>155</v>
      </c>
      <c r="C13" s="141">
        <v>0</v>
      </c>
      <c r="D13" s="141">
        <v>0</v>
      </c>
      <c r="E13" s="111">
        <v>0</v>
      </c>
      <c r="F13" s="401">
        <f>$B13*'Exceptions &amp; Events'!$B$8</f>
        <v>0.96099999999999997</v>
      </c>
      <c r="G13" s="402">
        <f>$B13*'Exceptions &amp; Events'!$B$18</f>
        <v>4.6499999999999995</v>
      </c>
      <c r="H13" s="402">
        <f>$B13*'Exceptions &amp; Events'!$B$28</f>
        <v>7.75</v>
      </c>
      <c r="I13" s="402">
        <f>$B13*'Exceptions &amp; Events'!$B$37</f>
        <v>7.75</v>
      </c>
      <c r="J13" s="402">
        <f>$B13*'Exceptions &amp; Events'!$B$46</f>
        <v>0.76956775700934577</v>
      </c>
      <c r="K13" s="402">
        <f>$B13*'Exceptions &amp; Events'!$B$56</f>
        <v>0</v>
      </c>
      <c r="L13" s="403">
        <f t="shared" si="0"/>
        <v>133.11943224299065</v>
      </c>
      <c r="M13" s="404">
        <f t="shared" si="1"/>
        <v>0.14116495327102804</v>
      </c>
      <c r="N13" s="405">
        <f t="shared" si="2"/>
        <v>0</v>
      </c>
      <c r="O13" s="406">
        <f t="shared" si="3"/>
        <v>0</v>
      </c>
      <c r="P13" s="407">
        <f t="shared" si="4"/>
        <v>0</v>
      </c>
      <c r="Q13" s="408">
        <f t="shared" si="5"/>
        <v>0</v>
      </c>
      <c r="R13" s="190">
        <v>0</v>
      </c>
    </row>
    <row r="14" spans="1:31" s="21" customFormat="1" ht="16.5" thickTop="1" thickBot="1" x14ac:dyDescent="0.3">
      <c r="A14" s="142" t="s">
        <v>75</v>
      </c>
      <c r="B14" s="414">
        <f>SUM(B9:B13)</f>
        <v>3742</v>
      </c>
      <c r="C14" s="415">
        <f>SUM(C9:C13)</f>
        <v>403</v>
      </c>
      <c r="D14" s="415">
        <f>SUM(D9:D13)</f>
        <v>55</v>
      </c>
      <c r="E14" s="416">
        <f>SUM(E9:E13)</f>
        <v>45</v>
      </c>
      <c r="F14" s="409">
        <f t="shared" ref="F14:L14" si="6">SUM(F9:F13)</f>
        <v>23.200399999999995</v>
      </c>
      <c r="G14" s="410">
        <f t="shared" si="6"/>
        <v>112.26</v>
      </c>
      <c r="H14" s="410">
        <f t="shared" si="6"/>
        <v>187.1</v>
      </c>
      <c r="I14" s="410">
        <f t="shared" si="6"/>
        <v>187.1</v>
      </c>
      <c r="J14" s="410">
        <f t="shared" si="6"/>
        <v>18.578855140186914</v>
      </c>
      <c r="K14" s="410">
        <f t="shared" si="6"/>
        <v>0</v>
      </c>
      <c r="L14" s="410">
        <f t="shared" si="6"/>
        <v>3213.7607448598128</v>
      </c>
      <c r="M14" s="411">
        <f>($B14-L14)/$B14</f>
        <v>0.14116495327102813</v>
      </c>
      <c r="N14" s="412">
        <f>SUM(N9:N13)</f>
        <v>0</v>
      </c>
      <c r="O14" s="413">
        <f>SUM(O9:O13)</f>
        <v>0</v>
      </c>
      <c r="P14" s="413">
        <f>SUM(P9:P13)</f>
        <v>202.4818901869159</v>
      </c>
      <c r="Q14" s="413">
        <f>SUM(Q9:Q13)</f>
        <v>212.4818901869159</v>
      </c>
      <c r="R14" s="418">
        <f>SUM(R9:R13)</f>
        <v>55</v>
      </c>
      <c r="T14" s="1"/>
      <c r="U14" s="1"/>
      <c r="V14" s="1"/>
      <c r="W14" s="1"/>
      <c r="X14" s="1"/>
      <c r="Y14" s="1"/>
      <c r="Z14" s="1"/>
      <c r="AA14" s="1"/>
      <c r="AB14" s="1"/>
      <c r="AC14" s="1"/>
      <c r="AD14" s="1"/>
    </row>
    <row r="15" spans="1:31" s="21" customFormat="1" ht="15.75" thickBot="1" x14ac:dyDescent="0.3">
      <c r="A15" s="143"/>
      <c r="B15" s="14"/>
      <c r="C15" s="14"/>
      <c r="D15" s="14"/>
      <c r="E15" s="14"/>
      <c r="F15" s="144"/>
      <c r="G15" s="144"/>
      <c r="H15" s="144"/>
      <c r="I15" s="144"/>
      <c r="J15" s="144"/>
      <c r="K15" s="144"/>
      <c r="L15" s="144"/>
      <c r="M15" s="145"/>
      <c r="N15" s="144"/>
      <c r="O15" s="144"/>
      <c r="P15" s="144"/>
      <c r="Q15" s="144"/>
      <c r="S15" s="1"/>
      <c r="T15" s="1"/>
      <c r="U15" s="1"/>
      <c r="V15" s="1"/>
      <c r="W15" s="1"/>
      <c r="X15" s="1"/>
      <c r="Y15" s="1"/>
      <c r="Z15" s="1"/>
      <c r="AA15" s="1"/>
      <c r="AB15" s="1"/>
      <c r="AC15" s="1"/>
    </row>
    <row r="16" spans="1:31" s="21" customFormat="1" ht="16.5" thickBot="1" x14ac:dyDescent="0.3">
      <c r="A16" s="15" t="s">
        <v>152</v>
      </c>
      <c r="B16" s="14"/>
      <c r="C16" s="14"/>
      <c r="D16" s="14"/>
      <c r="E16" s="14"/>
      <c r="F16" s="144"/>
      <c r="G16" s="144"/>
      <c r="H16" s="144"/>
      <c r="I16" s="144"/>
      <c r="J16" s="144"/>
      <c r="K16" s="144"/>
      <c r="L16" s="144"/>
      <c r="M16" s="145"/>
      <c r="N16" s="865" t="s">
        <v>199</v>
      </c>
      <c r="O16" s="866"/>
      <c r="P16" s="866"/>
      <c r="Q16" s="866"/>
      <c r="R16" s="867"/>
      <c r="T16" s="1"/>
      <c r="U16" s="1"/>
      <c r="V16" s="1"/>
      <c r="W16" s="1"/>
      <c r="X16" s="1"/>
      <c r="Y16" s="1"/>
      <c r="Z16" s="1"/>
      <c r="AA16" s="1"/>
      <c r="AB16" s="1"/>
      <c r="AC16" s="1"/>
      <c r="AD16" s="1"/>
    </row>
    <row r="17" spans="1:30" s="21" customFormat="1" ht="60" x14ac:dyDescent="0.25">
      <c r="A17" s="143"/>
      <c r="B17" s="14"/>
      <c r="C17" s="14"/>
      <c r="D17" s="14"/>
      <c r="E17" s="14"/>
      <c r="F17" s="144"/>
      <c r="G17" s="144"/>
      <c r="H17" s="144"/>
      <c r="I17" s="144"/>
      <c r="J17" s="144"/>
      <c r="K17" s="144"/>
      <c r="L17" s="144"/>
      <c r="M17" s="145"/>
      <c r="N17" s="343" t="s">
        <v>196</v>
      </c>
      <c r="O17" s="344" t="s">
        <v>196</v>
      </c>
      <c r="P17" s="344" t="s">
        <v>195</v>
      </c>
      <c r="Q17" s="344" t="s">
        <v>195</v>
      </c>
      <c r="R17" s="345" t="s">
        <v>197</v>
      </c>
      <c r="S17" s="144"/>
      <c r="T17" s="1"/>
      <c r="U17" s="1"/>
      <c r="V17" s="1"/>
      <c r="W17" s="1"/>
      <c r="X17" s="1"/>
      <c r="Y17" s="1"/>
      <c r="Z17" s="1"/>
      <c r="AA17" s="1"/>
      <c r="AB17" s="1"/>
      <c r="AC17" s="1"/>
      <c r="AD17" s="1"/>
    </row>
    <row r="18" spans="1:30" s="21" customFormat="1" ht="285" x14ac:dyDescent="0.25">
      <c r="A18" s="868" t="s">
        <v>59</v>
      </c>
      <c r="B18" s="104" t="s">
        <v>182</v>
      </c>
      <c r="C18" s="152" t="s">
        <v>183</v>
      </c>
      <c r="D18" s="357" t="s">
        <v>911</v>
      </c>
      <c r="E18" s="154" t="s">
        <v>440</v>
      </c>
      <c r="F18" s="104" t="s">
        <v>166</v>
      </c>
      <c r="G18" s="140" t="s">
        <v>167</v>
      </c>
      <c r="H18" s="138" t="s">
        <v>180</v>
      </c>
      <c r="I18" s="138" t="s">
        <v>181</v>
      </c>
      <c r="J18" s="138" t="s">
        <v>169</v>
      </c>
      <c r="K18" s="138" t="s">
        <v>170</v>
      </c>
      <c r="L18" s="101" t="s">
        <v>171</v>
      </c>
      <c r="M18" s="118" t="s">
        <v>172</v>
      </c>
      <c r="N18" s="188" t="s">
        <v>914</v>
      </c>
      <c r="O18" s="355" t="s">
        <v>406</v>
      </c>
      <c r="P18" s="356" t="s">
        <v>915</v>
      </c>
      <c r="Q18" s="356" t="s">
        <v>407</v>
      </c>
      <c r="R18" s="201" t="s">
        <v>916</v>
      </c>
      <c r="S18" s="144"/>
      <c r="T18" s="144"/>
      <c r="U18" s="144"/>
      <c r="V18" s="144"/>
      <c r="W18" s="144"/>
      <c r="X18" s="144"/>
      <c r="Y18" s="144"/>
      <c r="Z18" s="144"/>
      <c r="AA18" s="144"/>
      <c r="AB18" s="144"/>
      <c r="AC18" s="145"/>
      <c r="AD18" s="144"/>
    </row>
    <row r="19" spans="1:30" s="21" customFormat="1" ht="15" customHeight="1" x14ac:dyDescent="0.25">
      <c r="A19" s="869"/>
      <c r="B19" s="885" t="s">
        <v>155</v>
      </c>
      <c r="C19" s="886"/>
      <c r="D19" s="886"/>
      <c r="E19" s="158"/>
      <c r="F19" s="877" t="s">
        <v>177</v>
      </c>
      <c r="G19" s="878"/>
      <c r="H19" s="878"/>
      <c r="I19" s="878"/>
      <c r="J19" s="878"/>
      <c r="K19" s="878"/>
      <c r="L19" s="878"/>
      <c r="M19" s="878"/>
      <c r="N19" s="878"/>
      <c r="O19" s="878"/>
      <c r="P19" s="878"/>
      <c r="Q19" s="878"/>
      <c r="R19" s="879"/>
      <c r="S19" s="144"/>
      <c r="T19" s="144"/>
      <c r="U19" s="144"/>
      <c r="V19" s="144"/>
      <c r="W19" s="144"/>
      <c r="X19" s="144"/>
      <c r="Y19" s="144"/>
      <c r="Z19" s="144"/>
      <c r="AA19" s="144"/>
      <c r="AB19" s="144"/>
      <c r="AC19" s="145"/>
      <c r="AD19" s="144"/>
    </row>
    <row r="20" spans="1:30" s="21" customFormat="1" x14ac:dyDescent="0.25">
      <c r="A20" s="67" t="s">
        <v>0</v>
      </c>
      <c r="B20" s="419">
        <f>B9</f>
        <v>1029</v>
      </c>
      <c r="C20" s="87">
        <f t="shared" ref="C20:D20" si="7">C9</f>
        <v>123</v>
      </c>
      <c r="D20" s="87">
        <f t="shared" si="7"/>
        <v>21</v>
      </c>
      <c r="E20" s="420">
        <f t="shared" ref="E20" si="8">E9</f>
        <v>21</v>
      </c>
      <c r="F20" s="393">
        <f>$B20*'Exceptions &amp; Events'!$D$8</f>
        <v>6.3797999999999995</v>
      </c>
      <c r="G20" s="394">
        <f>$B20*'Exceptions &amp; Events'!$D$18</f>
        <v>30.869999999999997</v>
      </c>
      <c r="H20" s="394">
        <f>$B20*'Exceptions &amp; Events'!$D$28</f>
        <v>30.869999999999997</v>
      </c>
      <c r="I20" s="394">
        <f>$B20*'Exceptions &amp; Events'!$D$37</f>
        <v>30.869999999999997</v>
      </c>
      <c r="J20" s="394">
        <f>$B20*'Exceptions &amp; Events'!$D$46</f>
        <v>5.1089369158878499</v>
      </c>
      <c r="K20" s="394">
        <f>$B20*'Exceptions &amp; Events'!$D$56</f>
        <v>0</v>
      </c>
      <c r="L20" s="395">
        <f>$B20-SUM(F20:K20)</f>
        <v>924.90126308411209</v>
      </c>
      <c r="M20" s="396">
        <f>($B20-L20)/$B20</f>
        <v>0.10116495327102809</v>
      </c>
      <c r="N20" s="397">
        <f>IF(($C20-SUM($F20:$K20)-D20)&lt;0,0,$C20-SUM($F20:$K20))</f>
        <v>0</v>
      </c>
      <c r="O20" s="398">
        <f>IF(($C20-SUM($F20:$K20)-E20)&lt;0,0,$C20-SUM($F20:$K20))</f>
        <v>0</v>
      </c>
      <c r="P20" s="399">
        <f>IF(($C20-SUM($F20:$G20,$J20:$K20)-$D20)&lt;0,0,($C20-SUM($F20:$G20,$J20:$K20)-$D20))</f>
        <v>59.641263084112154</v>
      </c>
      <c r="Q20" s="400">
        <f>IF(($C20-SUM($F20:$G20,$J20:$K20)-$E20)&lt;0,0,($C20-SUM($F20:$G20,$J20:$K20)-$E20))</f>
        <v>59.641263084112154</v>
      </c>
      <c r="R20" s="417">
        <f>D20</f>
        <v>21</v>
      </c>
      <c r="S20" s="144"/>
      <c r="T20" s="144"/>
      <c r="U20" s="144"/>
      <c r="V20" s="144"/>
      <c r="W20" s="144"/>
      <c r="X20" s="144"/>
      <c r="Y20" s="144"/>
      <c r="Z20" s="144"/>
      <c r="AA20" s="144"/>
      <c r="AB20" s="144"/>
      <c r="AC20" s="145"/>
      <c r="AD20" s="144"/>
    </row>
    <row r="21" spans="1:30" s="21" customFormat="1" x14ac:dyDescent="0.25">
      <c r="A21" s="67" t="s">
        <v>1</v>
      </c>
      <c r="B21" s="419">
        <f>B10</f>
        <v>909</v>
      </c>
      <c r="C21" s="87">
        <f t="shared" ref="C21:D24" si="9">C10</f>
        <v>89</v>
      </c>
      <c r="D21" s="87">
        <f t="shared" si="9"/>
        <v>34</v>
      </c>
      <c r="E21" s="420">
        <f t="shared" ref="E21" si="10">E10</f>
        <v>24</v>
      </c>
      <c r="F21" s="393">
        <f>$B21*'Exceptions &amp; Events'!$D$8</f>
        <v>5.6357999999999997</v>
      </c>
      <c r="G21" s="394">
        <f>$B21*'Exceptions &amp; Events'!$D$18</f>
        <v>27.27</v>
      </c>
      <c r="H21" s="394">
        <f>$B21*'Exceptions &amp; Events'!$D$28</f>
        <v>27.27</v>
      </c>
      <c r="I21" s="394">
        <f>$B21*'Exceptions &amp; Events'!$D$37</f>
        <v>27.27</v>
      </c>
      <c r="J21" s="394">
        <f>$B21*'Exceptions &amp; Events'!$D$46</f>
        <v>4.5131425233644853</v>
      </c>
      <c r="K21" s="394">
        <f>$B21*'Exceptions &amp; Events'!$D$56</f>
        <v>0</v>
      </c>
      <c r="L21" s="395">
        <f t="shared" ref="L21:L24" si="11">$B21-SUM(F21:K21)</f>
        <v>817.0410574766355</v>
      </c>
      <c r="M21" s="396">
        <f t="shared" ref="M21:M24" si="12">($B21-L21)/$B21</f>
        <v>0.10116495327102805</v>
      </c>
      <c r="N21" s="397">
        <f t="shared" ref="N21:N24" si="13">IF(($C21-SUM($F21:$K21)-D21)&lt;0,0,$C21-SUM($F21:$K21))</f>
        <v>0</v>
      </c>
      <c r="O21" s="398">
        <f t="shared" ref="O21:O24" si="14">IF(($C21-SUM($F21:$K21)-E21)&lt;0,0,$C21-SUM($F21:$K21))</f>
        <v>0</v>
      </c>
      <c r="P21" s="399">
        <f>IF(($C21-SUM($F21:$G21,$J21:$K21)-$D21)&lt;0,0,($C21-SUM($F21:$G21,$J21:$K21)-$D21))</f>
        <v>17.581057476635515</v>
      </c>
      <c r="Q21" s="400">
        <f>IF(($C21-SUM($F21:$G21,$J21:$K21)-$E21)&lt;0,0,($C21-SUM($F21:$G21,$J21:$K21)-$E21))</f>
        <v>27.581057476635515</v>
      </c>
      <c r="R21" s="417">
        <f>D21</f>
        <v>34</v>
      </c>
      <c r="S21" s="144"/>
      <c r="T21" s="144"/>
      <c r="U21" s="144"/>
      <c r="V21" s="144"/>
      <c r="W21" s="144"/>
      <c r="X21" s="144"/>
      <c r="Y21" s="144"/>
      <c r="Z21" s="144"/>
      <c r="AA21" s="144"/>
      <c r="AB21" s="144"/>
      <c r="AC21" s="145"/>
      <c r="AD21" s="144"/>
    </row>
    <row r="22" spans="1:30" s="21" customFormat="1" x14ac:dyDescent="0.25">
      <c r="A22" s="67" t="s">
        <v>2</v>
      </c>
      <c r="B22" s="419">
        <f>B11</f>
        <v>1597</v>
      </c>
      <c r="C22" s="87">
        <f t="shared" si="9"/>
        <v>191</v>
      </c>
      <c r="D22" s="87">
        <f t="shared" si="9"/>
        <v>0</v>
      </c>
      <c r="E22" s="420">
        <f t="shared" ref="E22" si="15">E11</f>
        <v>0</v>
      </c>
      <c r="F22" s="393">
        <f>$B22*'Exceptions &amp; Events'!$D$8</f>
        <v>9.9013999999999989</v>
      </c>
      <c r="G22" s="394">
        <f>$B22*'Exceptions &amp; Events'!$D$18</f>
        <v>47.91</v>
      </c>
      <c r="H22" s="394">
        <f>$B22*'Exceptions &amp; Events'!$D$28</f>
        <v>47.91</v>
      </c>
      <c r="I22" s="394">
        <f>$B22*'Exceptions &amp; Events'!$D$37</f>
        <v>47.91</v>
      </c>
      <c r="J22" s="394">
        <f>$B22*'Exceptions &amp; Events'!$D$46</f>
        <v>7.9290303738317753</v>
      </c>
      <c r="K22" s="394">
        <f>$B22*'Exceptions &amp; Events'!$D$56</f>
        <v>0</v>
      </c>
      <c r="L22" s="395">
        <f t="shared" si="11"/>
        <v>1435.4395696261681</v>
      </c>
      <c r="M22" s="396">
        <f t="shared" si="12"/>
        <v>0.1011649532710281</v>
      </c>
      <c r="N22" s="397">
        <f t="shared" si="13"/>
        <v>29.439569626168236</v>
      </c>
      <c r="O22" s="398">
        <f t="shared" si="14"/>
        <v>29.439569626168236</v>
      </c>
      <c r="P22" s="399">
        <f t="shared" ref="P22:P24" si="16">IF(($C22-SUM($F22:$G22,$J22:$K22)-$D22)&lt;0,0,($C22-SUM($F22:$G22,$J22:$K22)-$D22))</f>
        <v>125.25956962616823</v>
      </c>
      <c r="Q22" s="400">
        <f t="shared" ref="Q22:Q24" si="17">IF(($C22-SUM($F22:$G22,$J22:$K22)-$E22)&lt;0,0,($C22-SUM($F22:$G22,$J22:$K22)-$E22))</f>
        <v>125.25956962616823</v>
      </c>
      <c r="R22" s="189">
        <v>0</v>
      </c>
      <c r="S22" s="144"/>
      <c r="T22" s="144"/>
      <c r="U22" s="144"/>
      <c r="V22" s="144"/>
      <c r="W22" s="144"/>
      <c r="X22" s="144"/>
      <c r="Y22" s="144"/>
      <c r="Z22" s="144"/>
      <c r="AA22" s="144"/>
      <c r="AB22" s="144"/>
      <c r="AC22" s="145"/>
      <c r="AD22" s="144"/>
    </row>
    <row r="23" spans="1:30" s="21" customFormat="1" x14ac:dyDescent="0.25">
      <c r="A23" s="67" t="s">
        <v>4</v>
      </c>
      <c r="B23" s="419">
        <f>B12</f>
        <v>52</v>
      </c>
      <c r="C23" s="87">
        <f t="shared" si="9"/>
        <v>0</v>
      </c>
      <c r="D23" s="87">
        <f t="shared" si="9"/>
        <v>0</v>
      </c>
      <c r="E23" s="420">
        <f t="shared" ref="E23" si="18">E12</f>
        <v>0</v>
      </c>
      <c r="F23" s="393">
        <f>$B23*'Exceptions &amp; Events'!$D$8</f>
        <v>0.32239999999999996</v>
      </c>
      <c r="G23" s="394">
        <f>$B23*'Exceptions &amp; Events'!$D$18</f>
        <v>1.56</v>
      </c>
      <c r="H23" s="394">
        <f>$B23*'Exceptions &amp; Events'!$D$28</f>
        <v>1.56</v>
      </c>
      <c r="I23" s="394">
        <f>$B23*'Exceptions &amp; Events'!$D$37</f>
        <v>1.56</v>
      </c>
      <c r="J23" s="394">
        <f>$B23*'Exceptions &amp; Events'!$D$46</f>
        <v>0.25817757009345793</v>
      </c>
      <c r="K23" s="394">
        <f>$B23*'Exceptions &amp; Events'!$D$56</f>
        <v>0</v>
      </c>
      <c r="L23" s="395">
        <f t="shared" si="11"/>
        <v>46.73942242990654</v>
      </c>
      <c r="M23" s="396">
        <f t="shared" si="12"/>
        <v>0.10116495327102808</v>
      </c>
      <c r="N23" s="397">
        <f t="shared" si="13"/>
        <v>0</v>
      </c>
      <c r="O23" s="398">
        <f t="shared" si="14"/>
        <v>0</v>
      </c>
      <c r="P23" s="399">
        <f t="shared" si="16"/>
        <v>0</v>
      </c>
      <c r="Q23" s="400">
        <f t="shared" si="17"/>
        <v>0</v>
      </c>
      <c r="R23" s="189">
        <v>0</v>
      </c>
      <c r="S23" s="144"/>
      <c r="T23" s="144"/>
      <c r="U23" s="144"/>
      <c r="V23" s="144"/>
      <c r="W23" s="144"/>
      <c r="X23" s="144"/>
      <c r="Y23" s="144"/>
      <c r="Z23" s="144"/>
      <c r="AA23" s="144"/>
      <c r="AB23" s="144"/>
      <c r="AC23" s="145"/>
      <c r="AD23" s="144"/>
    </row>
    <row r="24" spans="1:30" s="21" customFormat="1" ht="15.75" thickBot="1" x14ac:dyDescent="0.3">
      <c r="A24" s="109" t="s">
        <v>5</v>
      </c>
      <c r="B24" s="421">
        <f>B13</f>
        <v>155</v>
      </c>
      <c r="C24" s="422">
        <f t="shared" si="9"/>
        <v>0</v>
      </c>
      <c r="D24" s="422">
        <f t="shared" si="9"/>
        <v>0</v>
      </c>
      <c r="E24" s="423">
        <f t="shared" ref="E24" si="19">E13</f>
        <v>0</v>
      </c>
      <c r="F24" s="401">
        <f>$B24*'Exceptions &amp; Events'!$D$8</f>
        <v>0.96099999999999997</v>
      </c>
      <c r="G24" s="402">
        <f>$B24*'Exceptions &amp; Events'!$D$18</f>
        <v>4.6499999999999995</v>
      </c>
      <c r="H24" s="402">
        <f>$B24*'Exceptions &amp; Events'!$D$28</f>
        <v>4.6499999999999995</v>
      </c>
      <c r="I24" s="402">
        <f>$B24*'Exceptions &amp; Events'!$D$37</f>
        <v>4.6499999999999995</v>
      </c>
      <c r="J24" s="402">
        <f>$B24*'Exceptions &amp; Events'!$D$46</f>
        <v>0.76956775700934577</v>
      </c>
      <c r="K24" s="402">
        <f>$B24*'Exceptions &amp; Events'!$D$56</f>
        <v>0</v>
      </c>
      <c r="L24" s="403">
        <f t="shared" si="11"/>
        <v>139.31943224299064</v>
      </c>
      <c r="M24" s="404">
        <f t="shared" si="12"/>
        <v>0.1011649532710281</v>
      </c>
      <c r="N24" s="405">
        <f t="shared" si="13"/>
        <v>0</v>
      </c>
      <c r="O24" s="406">
        <f t="shared" si="14"/>
        <v>0</v>
      </c>
      <c r="P24" s="407">
        <f t="shared" si="16"/>
        <v>0</v>
      </c>
      <c r="Q24" s="408">
        <f t="shared" si="17"/>
        <v>0</v>
      </c>
      <c r="R24" s="190">
        <v>0</v>
      </c>
      <c r="S24" s="144"/>
      <c r="T24" s="144"/>
      <c r="U24" s="144"/>
      <c r="V24" s="144"/>
      <c r="W24" s="144"/>
      <c r="X24" s="144"/>
      <c r="Y24" s="144"/>
      <c r="Z24" s="144"/>
      <c r="AA24" s="144"/>
      <c r="AB24" s="144"/>
      <c r="AC24" s="145"/>
      <c r="AD24" s="144"/>
    </row>
    <row r="25" spans="1:30" s="21" customFormat="1" ht="16.5" thickTop="1" thickBot="1" x14ac:dyDescent="0.3">
      <c r="A25" s="142" t="s">
        <v>75</v>
      </c>
      <c r="B25" s="414">
        <f>SUM(B20:B24)</f>
        <v>3742</v>
      </c>
      <c r="C25" s="415">
        <f>SUM(C20:C24)</f>
        <v>403</v>
      </c>
      <c r="D25" s="415">
        <f>SUM(D20:D24)</f>
        <v>55</v>
      </c>
      <c r="E25" s="416">
        <f>SUM(E20:E24)</f>
        <v>45</v>
      </c>
      <c r="F25" s="409">
        <f t="shared" ref="F25:L25" si="20">SUM(F20:F24)</f>
        <v>23.200399999999995</v>
      </c>
      <c r="G25" s="410">
        <f t="shared" si="20"/>
        <v>112.26</v>
      </c>
      <c r="H25" s="410">
        <f t="shared" si="20"/>
        <v>112.26</v>
      </c>
      <c r="I25" s="410">
        <f t="shared" si="20"/>
        <v>112.26</v>
      </c>
      <c r="J25" s="410">
        <f t="shared" si="20"/>
        <v>18.578855140186914</v>
      </c>
      <c r="K25" s="410">
        <f t="shared" si="20"/>
        <v>0</v>
      </c>
      <c r="L25" s="410">
        <f t="shared" si="20"/>
        <v>3363.4407448598131</v>
      </c>
      <c r="M25" s="424">
        <f>($B25-L25)/$B25</f>
        <v>0.10116495327102804</v>
      </c>
      <c r="N25" s="412">
        <f>SUM(N20:N24)</f>
        <v>29.439569626168236</v>
      </c>
      <c r="O25" s="412">
        <f>SUM(O20:O24)</f>
        <v>29.439569626168236</v>
      </c>
      <c r="P25" s="425">
        <f>SUM(P20:P24)</f>
        <v>202.4818901869159</v>
      </c>
      <c r="Q25" s="425">
        <f>SUM(Q20:Q24)</f>
        <v>212.4818901869159</v>
      </c>
      <c r="R25" s="418">
        <f>SUM(R20:R24)</f>
        <v>55</v>
      </c>
      <c r="S25" s="144"/>
      <c r="T25" s="144"/>
      <c r="U25" s="144"/>
      <c r="V25" s="144"/>
      <c r="W25" s="144"/>
      <c r="X25" s="144"/>
      <c r="Y25" s="144"/>
      <c r="Z25" s="144"/>
      <c r="AA25" s="144"/>
      <c r="AB25" s="144"/>
      <c r="AC25" s="145"/>
      <c r="AD25" s="144"/>
    </row>
    <row r="26" spans="1:30" x14ac:dyDescent="0.25">
      <c r="B26" s="803" t="s">
        <v>179</v>
      </c>
      <c r="C26" s="803"/>
      <c r="D26" s="803"/>
      <c r="E26" s="803"/>
      <c r="F26" s="803"/>
      <c r="G26" s="803"/>
      <c r="H26" s="803"/>
      <c r="I26" s="803"/>
      <c r="J26" s="803"/>
      <c r="K26" s="803"/>
      <c r="L26" s="803"/>
    </row>
    <row r="27" spans="1:30" x14ac:dyDescent="0.25">
      <c r="B27" s="786"/>
      <c r="C27" s="786"/>
      <c r="D27" s="786"/>
      <c r="E27" s="786"/>
      <c r="F27" s="786"/>
      <c r="G27" s="786"/>
      <c r="H27" s="786"/>
      <c r="I27" s="786"/>
      <c r="J27" s="786"/>
      <c r="K27" s="786"/>
      <c r="L27" s="786"/>
    </row>
    <row r="28" spans="1:30" x14ac:dyDescent="0.25">
      <c r="B28" s="18" t="s">
        <v>441</v>
      </c>
    </row>
    <row r="29" spans="1:30" x14ac:dyDescent="0.25">
      <c r="B29" s="18"/>
    </row>
    <row r="30" spans="1:30" s="21" customFormat="1" x14ac:dyDescent="0.25">
      <c r="B30" s="160" t="s">
        <v>178</v>
      </c>
      <c r="C30" s="14"/>
      <c r="D30" s="14"/>
      <c r="E30" s="14"/>
      <c r="F30" s="144"/>
      <c r="G30" s="144"/>
      <c r="H30" s="144"/>
      <c r="I30" s="144"/>
      <c r="J30" s="144"/>
      <c r="K30" s="144"/>
      <c r="L30" s="144"/>
      <c r="M30" s="145"/>
      <c r="N30" s="144"/>
      <c r="O30" s="144"/>
      <c r="P30" s="144"/>
      <c r="Q30" s="144"/>
      <c r="R30" s="144"/>
      <c r="S30" s="144"/>
      <c r="T30" s="144"/>
      <c r="U30" s="144"/>
      <c r="V30" s="144"/>
      <c r="W30" s="144"/>
      <c r="X30" s="144"/>
      <c r="Y30" s="144"/>
      <c r="Z30" s="144"/>
      <c r="AA30" s="144"/>
      <c r="AB30" s="145"/>
      <c r="AC30" s="144"/>
    </row>
    <row r="31" spans="1:30" s="8" customFormat="1" ht="15" customHeight="1" x14ac:dyDescent="0.2">
      <c r="B31" s="861" t="s">
        <v>419</v>
      </c>
      <c r="C31" s="861"/>
      <c r="D31" s="861"/>
      <c r="E31" s="861"/>
      <c r="F31" s="861"/>
      <c r="G31" s="861"/>
      <c r="H31" s="861"/>
      <c r="I31" s="861"/>
      <c r="J31" s="861"/>
      <c r="K31" s="861"/>
      <c r="L31" s="861"/>
      <c r="M31" s="348"/>
      <c r="N31" s="348"/>
      <c r="O31" s="348"/>
      <c r="P31" s="348"/>
      <c r="Q31" s="348"/>
      <c r="R31" s="348"/>
    </row>
    <row r="32" spans="1:30" s="8" customFormat="1" ht="15" customHeight="1" x14ac:dyDescent="0.2">
      <c r="B32" s="861"/>
      <c r="C32" s="861"/>
      <c r="D32" s="861"/>
      <c r="E32" s="861"/>
      <c r="F32" s="861"/>
      <c r="G32" s="861"/>
      <c r="H32" s="861"/>
      <c r="I32" s="861"/>
      <c r="J32" s="861"/>
      <c r="K32" s="861"/>
      <c r="L32" s="861"/>
      <c r="M32" s="348"/>
      <c r="N32" s="348"/>
      <c r="O32" s="348"/>
      <c r="P32" s="348"/>
      <c r="Q32" s="348"/>
      <c r="R32" s="348"/>
    </row>
    <row r="33" spans="2:29" s="8" customFormat="1" ht="15" customHeight="1" x14ac:dyDescent="0.25">
      <c r="B33" s="349" t="s">
        <v>418</v>
      </c>
      <c r="C33" s="350"/>
      <c r="D33" s="350"/>
      <c r="E33" s="350"/>
      <c r="F33" s="350"/>
      <c r="G33" s="350"/>
      <c r="H33" s="350"/>
      <c r="I33" s="350"/>
      <c r="J33" s="350"/>
      <c r="K33" s="350"/>
      <c r="L33" s="350"/>
      <c r="M33" s="350"/>
      <c r="N33" s="350"/>
      <c r="O33" s="350"/>
      <c r="P33" s="350"/>
      <c r="Q33" s="350"/>
      <c r="R33" s="350"/>
      <c r="S33" s="123"/>
      <c r="T33" s="123"/>
      <c r="U33" s="123"/>
      <c r="V33" s="123"/>
      <c r="W33" s="123"/>
      <c r="X33" s="123"/>
      <c r="Y33" s="123"/>
      <c r="Z33" s="123"/>
      <c r="AA33" s="123"/>
      <c r="AB33" s="123"/>
      <c r="AC33" s="123"/>
    </row>
    <row r="34" spans="2:29" s="8" customFormat="1" ht="15" customHeight="1" x14ac:dyDescent="0.25">
      <c r="B34" s="861" t="s">
        <v>442</v>
      </c>
      <c r="C34" s="861"/>
      <c r="D34" s="861"/>
      <c r="E34" s="861"/>
      <c r="F34" s="861"/>
      <c r="G34" s="861"/>
      <c r="H34" s="861"/>
      <c r="I34" s="861"/>
      <c r="J34" s="861"/>
      <c r="K34" s="861"/>
      <c r="L34" s="861"/>
      <c r="M34" s="350"/>
      <c r="N34" s="350"/>
      <c r="O34" s="350"/>
      <c r="P34" s="350"/>
      <c r="Q34" s="350"/>
      <c r="R34" s="350"/>
      <c r="S34" s="123"/>
      <c r="T34" s="123"/>
      <c r="U34" s="123"/>
      <c r="V34" s="123"/>
      <c r="W34" s="123"/>
      <c r="X34" s="123"/>
      <c r="Y34" s="123"/>
      <c r="Z34" s="123"/>
      <c r="AA34" s="123"/>
      <c r="AB34" s="123"/>
      <c r="AC34" s="123"/>
    </row>
    <row r="35" spans="2:29" s="8" customFormat="1" ht="15" customHeight="1" x14ac:dyDescent="0.25">
      <c r="B35" s="861"/>
      <c r="C35" s="861"/>
      <c r="D35" s="861"/>
      <c r="E35" s="861"/>
      <c r="F35" s="861"/>
      <c r="G35" s="861"/>
      <c r="H35" s="861"/>
      <c r="I35" s="861"/>
      <c r="J35" s="861"/>
      <c r="K35" s="861"/>
      <c r="L35" s="861"/>
      <c r="M35" s="350"/>
      <c r="N35" s="350"/>
      <c r="O35" s="350"/>
      <c r="P35" s="350"/>
      <c r="Q35" s="350"/>
      <c r="R35" s="350"/>
      <c r="S35" s="123"/>
      <c r="T35" s="123"/>
      <c r="U35" s="123"/>
      <c r="V35" s="123"/>
      <c r="W35" s="123"/>
      <c r="X35" s="123"/>
      <c r="Y35" s="123"/>
      <c r="Z35" s="123"/>
      <c r="AA35" s="123"/>
      <c r="AB35" s="123"/>
      <c r="AC35" s="123"/>
    </row>
    <row r="36" spans="2:29" s="8" customFormat="1" ht="15" customHeight="1" x14ac:dyDescent="0.25">
      <c r="B36" s="861"/>
      <c r="C36" s="861"/>
      <c r="D36" s="861"/>
      <c r="E36" s="861"/>
      <c r="F36" s="861"/>
      <c r="G36" s="861"/>
      <c r="H36" s="861"/>
      <c r="I36" s="861"/>
      <c r="J36" s="861"/>
      <c r="K36" s="861"/>
      <c r="L36" s="861"/>
      <c r="M36" s="350"/>
      <c r="N36" s="350"/>
      <c r="O36" s="350"/>
      <c r="P36" s="350"/>
      <c r="Q36" s="350"/>
      <c r="R36" s="350"/>
      <c r="S36" s="123"/>
      <c r="T36" s="123"/>
      <c r="U36" s="123"/>
      <c r="V36" s="123"/>
      <c r="W36" s="123"/>
      <c r="X36" s="123"/>
      <c r="Y36" s="123"/>
      <c r="Z36" s="123"/>
      <c r="AA36" s="123"/>
      <c r="AB36" s="123"/>
      <c r="AC36" s="123"/>
    </row>
    <row r="37" spans="2:29" s="8" customFormat="1" ht="15" customHeight="1" x14ac:dyDescent="0.25">
      <c r="B37" s="861" t="s">
        <v>184</v>
      </c>
      <c r="C37" s="861"/>
      <c r="D37" s="861"/>
      <c r="E37" s="861"/>
      <c r="F37" s="861"/>
      <c r="G37" s="861"/>
      <c r="H37" s="861"/>
      <c r="I37" s="861"/>
      <c r="J37" s="861"/>
      <c r="K37" s="861"/>
      <c r="L37" s="861"/>
      <c r="M37" s="350"/>
      <c r="N37" s="350"/>
      <c r="O37" s="350"/>
      <c r="P37" s="350"/>
      <c r="Q37" s="350"/>
      <c r="R37" s="350"/>
      <c r="S37" s="123"/>
      <c r="T37" s="123"/>
      <c r="U37" s="123"/>
      <c r="V37" s="123"/>
      <c r="W37" s="123"/>
      <c r="X37" s="123"/>
      <c r="Y37" s="123"/>
      <c r="Z37" s="123"/>
      <c r="AA37" s="123"/>
      <c r="AB37" s="123"/>
      <c r="AC37" s="123"/>
    </row>
    <row r="38" spans="2:29" x14ac:dyDescent="0.25">
      <c r="B38" s="861"/>
      <c r="C38" s="861"/>
      <c r="D38" s="861"/>
      <c r="E38" s="861"/>
      <c r="F38" s="861"/>
      <c r="G38" s="861"/>
      <c r="H38" s="861"/>
      <c r="I38" s="861"/>
      <c r="J38" s="861"/>
      <c r="K38" s="861"/>
      <c r="L38" s="861"/>
    </row>
    <row r="39" spans="2:29" x14ac:dyDescent="0.25">
      <c r="B39" s="365"/>
      <c r="C39" s="365"/>
      <c r="D39" s="365"/>
      <c r="E39" s="365"/>
      <c r="F39" s="365"/>
      <c r="G39" s="365"/>
      <c r="H39" s="365"/>
      <c r="I39" s="365"/>
      <c r="J39" s="365"/>
      <c r="K39" s="365"/>
      <c r="L39" s="365"/>
    </row>
    <row r="40" spans="2:29" x14ac:dyDescent="0.25">
      <c r="B40" s="346" t="s">
        <v>156</v>
      </c>
    </row>
    <row r="41" spans="2:29" x14ac:dyDescent="0.25">
      <c r="B41" s="133" t="s">
        <v>412</v>
      </c>
    </row>
    <row r="42" spans="2:29" x14ac:dyDescent="0.25">
      <c r="B42" s="133" t="s">
        <v>413</v>
      </c>
    </row>
    <row r="43" spans="2:29" x14ac:dyDescent="0.25">
      <c r="B43" s="133" t="s">
        <v>414</v>
      </c>
    </row>
    <row r="44" spans="2:29" x14ac:dyDescent="0.25">
      <c r="B44" s="133" t="s">
        <v>415</v>
      </c>
    </row>
    <row r="45" spans="2:29" x14ac:dyDescent="0.25">
      <c r="B45" s="133" t="s">
        <v>430</v>
      </c>
    </row>
    <row r="46" spans="2:29" x14ac:dyDescent="0.25">
      <c r="B46" s="133" t="s">
        <v>431</v>
      </c>
    </row>
    <row r="47" spans="2:29" x14ac:dyDescent="0.25">
      <c r="B47" s="133" t="s">
        <v>416</v>
      </c>
    </row>
    <row r="48" spans="2:29" x14ac:dyDescent="0.25">
      <c r="B48" s="133" t="s">
        <v>417</v>
      </c>
    </row>
    <row r="49" spans="1:29" x14ac:dyDescent="0.25">
      <c r="B49" s="133" t="s">
        <v>410</v>
      </c>
    </row>
    <row r="50" spans="1:29" x14ac:dyDescent="0.25">
      <c r="B50" s="133" t="s">
        <v>411</v>
      </c>
    </row>
    <row r="51" spans="1:29" x14ac:dyDescent="0.25">
      <c r="B51" s="347" t="s">
        <v>408</v>
      </c>
    </row>
    <row r="52" spans="1:29" x14ac:dyDescent="0.25">
      <c r="B52" s="347" t="s">
        <v>409</v>
      </c>
    </row>
    <row r="53" spans="1:29" x14ac:dyDescent="0.25">
      <c r="B53" s="861" t="s">
        <v>481</v>
      </c>
      <c r="C53" s="861"/>
      <c r="D53" s="861"/>
      <c r="E53" s="861"/>
      <c r="F53" s="861"/>
      <c r="G53" s="861"/>
      <c r="H53" s="861"/>
      <c r="I53" s="861"/>
      <c r="J53" s="861"/>
      <c r="K53" s="861"/>
      <c r="L53" s="861"/>
    </row>
    <row r="54" spans="1:29" x14ac:dyDescent="0.25">
      <c r="B54" s="861"/>
      <c r="C54" s="861"/>
      <c r="D54" s="861"/>
      <c r="E54" s="861"/>
      <c r="F54" s="861"/>
      <c r="G54" s="861"/>
      <c r="H54" s="861"/>
      <c r="I54" s="861"/>
      <c r="J54" s="861"/>
      <c r="K54" s="861"/>
      <c r="L54" s="861"/>
    </row>
    <row r="55" spans="1:29" ht="15.75" thickBot="1" x14ac:dyDescent="0.3">
      <c r="A55" s="133"/>
    </row>
    <row r="56" spans="1:29" ht="31.7" customHeight="1" thickBot="1" x14ac:dyDescent="0.3">
      <c r="A56" s="15" t="s">
        <v>153</v>
      </c>
      <c r="M56" s="883" t="s">
        <v>199</v>
      </c>
      <c r="N56" s="884"/>
    </row>
    <row r="57" spans="1:29" ht="60" x14ac:dyDescent="0.25">
      <c r="M57" s="199" t="s">
        <v>196</v>
      </c>
      <c r="N57" s="200" t="s">
        <v>195</v>
      </c>
    </row>
    <row r="58" spans="1:29" s="6" customFormat="1" ht="255" x14ac:dyDescent="0.25">
      <c r="A58" s="868" t="s">
        <v>59</v>
      </c>
      <c r="B58" s="104" t="s">
        <v>182</v>
      </c>
      <c r="C58" s="178" t="s">
        <v>183</v>
      </c>
      <c r="D58" s="183" t="s">
        <v>200</v>
      </c>
      <c r="E58" s="185" t="s">
        <v>166</v>
      </c>
      <c r="F58" s="177" t="s">
        <v>167</v>
      </c>
      <c r="G58" s="177" t="s">
        <v>180</v>
      </c>
      <c r="H58" s="177" t="s">
        <v>181</v>
      </c>
      <c r="I58" s="177" t="s">
        <v>169</v>
      </c>
      <c r="J58" s="177" t="s">
        <v>170</v>
      </c>
      <c r="K58" s="101" t="s">
        <v>171</v>
      </c>
      <c r="L58" s="118" t="s">
        <v>172</v>
      </c>
      <c r="M58" s="188" t="s">
        <v>198</v>
      </c>
      <c r="N58" s="201" t="s">
        <v>201</v>
      </c>
      <c r="P58" s="1"/>
      <c r="Q58" s="1"/>
      <c r="R58" s="1"/>
      <c r="S58" s="1"/>
      <c r="T58" s="1"/>
      <c r="U58" s="1"/>
      <c r="V58" s="1"/>
      <c r="W58" s="1"/>
      <c r="X58" s="1"/>
      <c r="Y58" s="1"/>
      <c r="Z58" s="1"/>
      <c r="AA58" s="1"/>
      <c r="AB58" s="1"/>
      <c r="AC58" s="1"/>
    </row>
    <row r="59" spans="1:29" s="6" customFormat="1" ht="15" customHeight="1" x14ac:dyDescent="0.25">
      <c r="A59" s="869"/>
      <c r="B59" s="885" t="s">
        <v>155</v>
      </c>
      <c r="C59" s="886"/>
      <c r="D59" s="887"/>
      <c r="E59" s="880" t="s">
        <v>168</v>
      </c>
      <c r="F59" s="881"/>
      <c r="G59" s="881"/>
      <c r="H59" s="881"/>
      <c r="I59" s="881"/>
      <c r="J59" s="881"/>
      <c r="K59" s="881"/>
      <c r="L59" s="881"/>
      <c r="M59" s="881"/>
      <c r="N59" s="882"/>
      <c r="O59" s="198"/>
      <c r="P59" s="1"/>
      <c r="Q59" s="1"/>
      <c r="R59" s="1"/>
      <c r="S59" s="1"/>
      <c r="T59" s="1"/>
      <c r="U59" s="1"/>
      <c r="V59" s="1"/>
      <c r="W59" s="1"/>
      <c r="X59" s="1"/>
      <c r="Y59" s="1"/>
      <c r="Z59" s="1"/>
      <c r="AA59" s="1"/>
      <c r="AB59" s="1"/>
      <c r="AC59" s="1"/>
    </row>
    <row r="60" spans="1:29" x14ac:dyDescent="0.25">
      <c r="A60" s="67" t="s">
        <v>0</v>
      </c>
      <c r="B60" s="105">
        <v>101</v>
      </c>
      <c r="C60" s="103">
        <v>22</v>
      </c>
      <c r="D60" s="66">
        <v>0</v>
      </c>
      <c r="E60" s="393">
        <f>$B60*'Exceptions &amp; Events'!$B$9</f>
        <v>0.62619999999999998</v>
      </c>
      <c r="F60" s="394">
        <f>$B60*'Exceptions &amp; Events'!$B$19</f>
        <v>3.03</v>
      </c>
      <c r="G60" s="394">
        <f>$B60*'Exceptions &amp; Events'!$B$29</f>
        <v>5.0500000000000007</v>
      </c>
      <c r="H60" s="394">
        <f>$B60*'Exceptions &amp; Events'!$B$38</f>
        <v>5.0500000000000007</v>
      </c>
      <c r="I60" s="394">
        <f>$B60*'Exceptions &amp; Events'!$B$47</f>
        <v>0.50146028037383172</v>
      </c>
      <c r="J60" s="394">
        <f>$B60*'Exceptions &amp; Events'!$B$57</f>
        <v>0</v>
      </c>
      <c r="K60" s="395">
        <f>$B60-SUM(E60:J60)</f>
        <v>86.742339719626159</v>
      </c>
      <c r="L60" s="396">
        <f>($B60-K60)/$B60</f>
        <v>0.14116495327102813</v>
      </c>
      <c r="M60" s="397">
        <f>IF(($C60-SUM($E60:$J60))&lt;0,0,$C60-SUM($E60:$J60))</f>
        <v>7.7423397196261661</v>
      </c>
      <c r="N60" s="417">
        <f>IF(($C60-SUM($E60:$F60,$I60:$J60))&lt;0,0,$C60-SUM($E60:$F60,$I60:$J60))</f>
        <v>17.842339719626167</v>
      </c>
    </row>
    <row r="61" spans="1:29" x14ac:dyDescent="0.25">
      <c r="A61" s="67" t="s">
        <v>1</v>
      </c>
      <c r="B61" s="105">
        <v>256</v>
      </c>
      <c r="C61" s="103">
        <v>0</v>
      </c>
      <c r="D61" s="66">
        <v>0</v>
      </c>
      <c r="E61" s="393">
        <f>$B61*'Exceptions &amp; Events'!$B$9</f>
        <v>1.5871999999999999</v>
      </c>
      <c r="F61" s="394">
        <f>$B61*'Exceptions &amp; Events'!$B$19</f>
        <v>7.68</v>
      </c>
      <c r="G61" s="394">
        <f>$B61*'Exceptions &amp; Events'!$B$29</f>
        <v>12.8</v>
      </c>
      <c r="H61" s="394">
        <f>$B61*'Exceptions &amp; Events'!$B$38</f>
        <v>12.8</v>
      </c>
      <c r="I61" s="394">
        <f>$B61*'Exceptions &amp; Events'!$B$47</f>
        <v>1.2710280373831775</v>
      </c>
      <c r="J61" s="394">
        <f>$B61*'Exceptions &amp; Events'!$B$57</f>
        <v>0</v>
      </c>
      <c r="K61" s="395">
        <f t="shared" ref="K61:K63" si="21">$B61-SUM(E61:J61)</f>
        <v>219.86177196261684</v>
      </c>
      <c r="L61" s="396">
        <f t="shared" ref="L61:L64" si="22">($B61-K61)/$B61</f>
        <v>0.14116495327102796</v>
      </c>
      <c r="M61" s="397">
        <f t="shared" ref="M61:M63" si="23">IF(($C61-SUM(E61:J61))&lt;0,0,$C61-SUM(E61:J61))</f>
        <v>0</v>
      </c>
      <c r="N61" s="417">
        <f t="shared" ref="N61:N63" si="24">IF(($C61-SUM($E61:$F61,$I61:$J61))&lt;0,0,$C61-SUM($E61:$F61,$I61:$J61))</f>
        <v>0</v>
      </c>
    </row>
    <row r="62" spans="1:29" x14ac:dyDescent="0.25">
      <c r="A62" s="67" t="s">
        <v>3</v>
      </c>
      <c r="B62" s="105">
        <v>81</v>
      </c>
      <c r="C62" s="103">
        <v>28</v>
      </c>
      <c r="D62" s="66">
        <v>0</v>
      </c>
      <c r="E62" s="393">
        <f>$B62*'Exceptions &amp; Events'!$B$9</f>
        <v>0.50219999999999998</v>
      </c>
      <c r="F62" s="394">
        <f>$B62*'Exceptions &amp; Events'!$B$19</f>
        <v>2.4299999999999997</v>
      </c>
      <c r="G62" s="394">
        <f>$B62*'Exceptions &amp; Events'!$B$29</f>
        <v>4.05</v>
      </c>
      <c r="H62" s="394">
        <f>$B62*'Exceptions &amp; Events'!$B$38</f>
        <v>4.05</v>
      </c>
      <c r="I62" s="394">
        <f>$B62*'Exceptions &amp; Events'!$B$47</f>
        <v>0.40216121495327101</v>
      </c>
      <c r="J62" s="394">
        <f>$B62*'Exceptions &amp; Events'!$B$57</f>
        <v>0</v>
      </c>
      <c r="K62" s="395">
        <f t="shared" si="21"/>
        <v>69.56563878504673</v>
      </c>
      <c r="L62" s="396">
        <f t="shared" si="22"/>
        <v>0.14116495327102802</v>
      </c>
      <c r="M62" s="397">
        <f t="shared" si="23"/>
        <v>16.56563878504673</v>
      </c>
      <c r="N62" s="417">
        <f t="shared" si="24"/>
        <v>24.665638785046728</v>
      </c>
    </row>
    <row r="63" spans="1:29" ht="15.75" thickBot="1" x14ac:dyDescent="0.3">
      <c r="A63" s="109" t="s">
        <v>4</v>
      </c>
      <c r="B63" s="110">
        <v>89</v>
      </c>
      <c r="C63" s="141">
        <v>16</v>
      </c>
      <c r="D63" s="111">
        <v>0</v>
      </c>
      <c r="E63" s="401">
        <f>$B63*'Exceptions &amp; Events'!$B$9</f>
        <v>0.55179999999999996</v>
      </c>
      <c r="F63" s="402">
        <f>$B63*'Exceptions &amp; Events'!$B$19</f>
        <v>2.67</v>
      </c>
      <c r="G63" s="402">
        <f>$B63*'Exceptions &amp; Events'!$B$29</f>
        <v>4.45</v>
      </c>
      <c r="H63" s="402">
        <f>$B63*'Exceptions &amp; Events'!$B$38</f>
        <v>4.45</v>
      </c>
      <c r="I63" s="402">
        <f>$B63*'Exceptions &amp; Events'!$B$47</f>
        <v>0.44188084112149528</v>
      </c>
      <c r="J63" s="402">
        <f>$B63*'Exceptions &amp; Events'!$B$57</f>
        <v>0</v>
      </c>
      <c r="K63" s="403">
        <f t="shared" si="21"/>
        <v>76.436319158878504</v>
      </c>
      <c r="L63" s="404">
        <f t="shared" si="22"/>
        <v>0.14116495327102804</v>
      </c>
      <c r="M63" s="405">
        <f t="shared" si="23"/>
        <v>3.4363191588785043</v>
      </c>
      <c r="N63" s="426">
        <f t="shared" si="24"/>
        <v>12.336319158878505</v>
      </c>
    </row>
    <row r="64" spans="1:29" s="21" customFormat="1" ht="16.5" thickTop="1" thickBot="1" x14ac:dyDescent="0.3">
      <c r="A64" s="108" t="s">
        <v>75</v>
      </c>
      <c r="B64" s="427">
        <f>SUM(B60:B63)</f>
        <v>527</v>
      </c>
      <c r="C64" s="415">
        <f t="shared" ref="C64:D64" si="25">SUM(C60:C63)</f>
        <v>66</v>
      </c>
      <c r="D64" s="416">
        <f t="shared" si="25"/>
        <v>0</v>
      </c>
      <c r="E64" s="409">
        <f t="shared" ref="E64:N64" si="26">SUM(E60:E63)</f>
        <v>3.2674000000000003</v>
      </c>
      <c r="F64" s="410">
        <f t="shared" si="26"/>
        <v>15.809999999999999</v>
      </c>
      <c r="G64" s="410">
        <f t="shared" si="26"/>
        <v>26.35</v>
      </c>
      <c r="H64" s="410">
        <f t="shared" si="26"/>
        <v>26.35</v>
      </c>
      <c r="I64" s="410">
        <f t="shared" si="26"/>
        <v>2.6165303738317758</v>
      </c>
      <c r="J64" s="410">
        <f t="shared" si="26"/>
        <v>0</v>
      </c>
      <c r="K64" s="410">
        <f t="shared" si="26"/>
        <v>452.60606962616828</v>
      </c>
      <c r="L64" s="411">
        <f t="shared" si="22"/>
        <v>0.14116495327102793</v>
      </c>
      <c r="M64" s="412">
        <f t="shared" si="26"/>
        <v>27.7442976635514</v>
      </c>
      <c r="N64" s="418">
        <f t="shared" si="26"/>
        <v>54.844297663551394</v>
      </c>
    </row>
    <row r="65" spans="1:29" s="14" customFormat="1" ht="15.75" thickBot="1" x14ac:dyDescent="0.3">
      <c r="A65" s="143"/>
      <c r="E65" s="144"/>
      <c r="F65" s="144"/>
      <c r="G65" s="144"/>
      <c r="H65" s="144"/>
      <c r="I65" s="144"/>
      <c r="J65" s="144"/>
      <c r="K65" s="144"/>
      <c r="L65" s="145"/>
      <c r="M65" s="144"/>
      <c r="N65" s="144"/>
    </row>
    <row r="66" spans="1:29" s="14" customFormat="1" ht="31.7" customHeight="1" thickBot="1" x14ac:dyDescent="0.3">
      <c r="A66" s="15" t="s">
        <v>153</v>
      </c>
      <c r="E66" s="144"/>
      <c r="F66" s="144"/>
      <c r="G66" s="144"/>
      <c r="H66" s="144"/>
      <c r="I66" s="144"/>
      <c r="J66" s="144"/>
      <c r="K66" s="144"/>
      <c r="L66" s="145"/>
      <c r="M66" s="883" t="s">
        <v>199</v>
      </c>
      <c r="N66" s="884"/>
    </row>
    <row r="67" spans="1:29" ht="60" x14ac:dyDescent="0.25">
      <c r="M67" s="199" t="s">
        <v>196</v>
      </c>
      <c r="N67" s="200" t="s">
        <v>195</v>
      </c>
    </row>
    <row r="68" spans="1:29" s="6" customFormat="1" ht="255" x14ac:dyDescent="0.25">
      <c r="A68" s="868" t="s">
        <v>59</v>
      </c>
      <c r="B68" s="185" t="s">
        <v>182</v>
      </c>
      <c r="C68" s="178" t="s">
        <v>183</v>
      </c>
      <c r="D68" s="183" t="s">
        <v>200</v>
      </c>
      <c r="E68" s="185" t="s">
        <v>166</v>
      </c>
      <c r="F68" s="177" t="s">
        <v>167</v>
      </c>
      <c r="G68" s="177" t="s">
        <v>180</v>
      </c>
      <c r="H68" s="177" t="s">
        <v>181</v>
      </c>
      <c r="I68" s="177" t="s">
        <v>169</v>
      </c>
      <c r="J68" s="177" t="s">
        <v>170</v>
      </c>
      <c r="K68" s="101" t="s">
        <v>171</v>
      </c>
      <c r="L68" s="118" t="s">
        <v>172</v>
      </c>
      <c r="M68" s="188" t="s">
        <v>198</v>
      </c>
      <c r="N68" s="201" t="s">
        <v>201</v>
      </c>
      <c r="P68" s="1"/>
      <c r="Q68" s="1"/>
      <c r="R68" s="1"/>
      <c r="S68" s="1"/>
      <c r="T68" s="1"/>
      <c r="U68" s="1"/>
      <c r="V68" s="1"/>
      <c r="W68" s="1"/>
      <c r="X68" s="1"/>
      <c r="Y68" s="1"/>
      <c r="Z68" s="1"/>
      <c r="AA68" s="1"/>
      <c r="AB68" s="1"/>
      <c r="AC68" s="1"/>
    </row>
    <row r="69" spans="1:29" s="6" customFormat="1" ht="15" customHeight="1" x14ac:dyDescent="0.25">
      <c r="A69" s="869"/>
      <c r="B69" s="885" t="s">
        <v>155</v>
      </c>
      <c r="C69" s="886"/>
      <c r="D69" s="887"/>
      <c r="E69" s="880" t="s">
        <v>202</v>
      </c>
      <c r="F69" s="881"/>
      <c r="G69" s="881"/>
      <c r="H69" s="881"/>
      <c r="I69" s="881"/>
      <c r="J69" s="881"/>
      <c r="K69" s="881"/>
      <c r="L69" s="881"/>
      <c r="M69" s="881"/>
      <c r="N69" s="882"/>
      <c r="O69" s="198"/>
      <c r="P69" s="1"/>
      <c r="Q69" s="1"/>
      <c r="R69" s="1"/>
      <c r="S69" s="1"/>
      <c r="T69" s="1"/>
      <c r="U69" s="1"/>
      <c r="V69" s="1"/>
      <c r="W69" s="1"/>
      <c r="X69" s="1"/>
      <c r="Y69" s="1"/>
      <c r="Z69" s="1"/>
      <c r="AA69" s="1"/>
      <c r="AB69" s="1"/>
      <c r="AC69" s="1"/>
    </row>
    <row r="70" spans="1:29" x14ac:dyDescent="0.25">
      <c r="A70" s="67" t="s">
        <v>0</v>
      </c>
      <c r="B70" s="419">
        <f>B60</f>
        <v>101</v>
      </c>
      <c r="C70" s="87">
        <f t="shared" ref="C70:D70" si="27">C60</f>
        <v>22</v>
      </c>
      <c r="D70" s="420">
        <f t="shared" si="27"/>
        <v>0</v>
      </c>
      <c r="E70" s="393">
        <f>$B70*'Exceptions &amp; Events'!$B$9</f>
        <v>0.62619999999999998</v>
      </c>
      <c r="F70" s="394">
        <f>$B70*'Exceptions &amp; Events'!$B$19</f>
        <v>3.03</v>
      </c>
      <c r="G70" s="394">
        <f>$B70*'Exceptions &amp; Events'!$D$29</f>
        <v>3.03</v>
      </c>
      <c r="H70" s="394">
        <f>$B70*'Exceptions &amp; Events'!$D$38</f>
        <v>3.03</v>
      </c>
      <c r="I70" s="394">
        <f>$B70*'Exceptions &amp; Events'!$B$47</f>
        <v>0.50146028037383172</v>
      </c>
      <c r="J70" s="394">
        <f>$B70*'Exceptions &amp; Events'!$B$57</f>
        <v>0</v>
      </c>
      <c r="K70" s="395">
        <f>$B70-SUM(E70:J70)</f>
        <v>90.782339719626165</v>
      </c>
      <c r="L70" s="396">
        <f>($B70-K70)/$B70</f>
        <v>0.10116495327102806</v>
      </c>
      <c r="M70" s="397">
        <f>IF(($C70-SUM($E70:$J70))&lt;0,0,$C70-SUM($E70:$J70))</f>
        <v>11.782339719626169</v>
      </c>
      <c r="N70" s="417">
        <f>IF(($C70-SUM($E70:$F70,$I70:$J70))&lt;0,0,$C70-SUM($E70:$F70,$I70:$J70))</f>
        <v>17.842339719626167</v>
      </c>
    </row>
    <row r="71" spans="1:29" x14ac:dyDescent="0.25">
      <c r="A71" s="67" t="s">
        <v>1</v>
      </c>
      <c r="B71" s="419">
        <f t="shared" ref="B71:D71" si="28">B61</f>
        <v>256</v>
      </c>
      <c r="C71" s="87">
        <f t="shared" si="28"/>
        <v>0</v>
      </c>
      <c r="D71" s="420">
        <f t="shared" si="28"/>
        <v>0</v>
      </c>
      <c r="E71" s="393">
        <f>$B71*'Exceptions &amp; Events'!$B$9</f>
        <v>1.5871999999999999</v>
      </c>
      <c r="F71" s="394">
        <f>$B71*'Exceptions &amp; Events'!$B$19</f>
        <v>7.68</v>
      </c>
      <c r="G71" s="394">
        <f>$B71*'Exceptions &amp; Events'!$D$29</f>
        <v>7.68</v>
      </c>
      <c r="H71" s="394">
        <f>$B71*'Exceptions &amp; Events'!$D$38</f>
        <v>7.68</v>
      </c>
      <c r="I71" s="394">
        <f>$B71*'Exceptions &amp; Events'!$B$47</f>
        <v>1.2710280373831775</v>
      </c>
      <c r="J71" s="394">
        <f>$B71*'Exceptions &amp; Events'!$B$57</f>
        <v>0</v>
      </c>
      <c r="K71" s="395">
        <f t="shared" ref="K71:K73" si="29">$B71-SUM(E71:J71)</f>
        <v>230.10177196261682</v>
      </c>
      <c r="L71" s="396">
        <f t="shared" ref="L71:L74" si="30">($B71-K71)/$B71</f>
        <v>0.10116495327102804</v>
      </c>
      <c r="M71" s="397">
        <f t="shared" ref="M71:M73" si="31">IF(($C71-SUM(E71:J71))&lt;0,0,$C71-SUM(E71:J71))</f>
        <v>0</v>
      </c>
      <c r="N71" s="417">
        <f t="shared" ref="N71:N73" si="32">IF(($C71-SUM($E71:$F71,$I71:$J71))&lt;0,0,$C71-SUM($E71:$F71,$I71:$J71))</f>
        <v>0</v>
      </c>
    </row>
    <row r="72" spans="1:29" x14ac:dyDescent="0.25">
      <c r="A72" s="67" t="s">
        <v>3</v>
      </c>
      <c r="B72" s="419">
        <f t="shared" ref="B72:D72" si="33">B62</f>
        <v>81</v>
      </c>
      <c r="C72" s="87">
        <f t="shared" si="33"/>
        <v>28</v>
      </c>
      <c r="D72" s="420">
        <f t="shared" si="33"/>
        <v>0</v>
      </c>
      <c r="E72" s="393">
        <f>$B72*'Exceptions &amp; Events'!$B$9</f>
        <v>0.50219999999999998</v>
      </c>
      <c r="F72" s="394">
        <f>$B72*'Exceptions &amp; Events'!$B$19</f>
        <v>2.4299999999999997</v>
      </c>
      <c r="G72" s="394">
        <f>$B72*'Exceptions &amp; Events'!$D$29</f>
        <v>2.4299999999999997</v>
      </c>
      <c r="H72" s="394">
        <f>$B72*'Exceptions &amp; Events'!$D$38</f>
        <v>2.4299999999999997</v>
      </c>
      <c r="I72" s="394">
        <f>$B72*'Exceptions &amp; Events'!$B$47</f>
        <v>0.40216121495327101</v>
      </c>
      <c r="J72" s="394">
        <f>$B72*'Exceptions &amp; Events'!$B$57</f>
        <v>0</v>
      </c>
      <c r="K72" s="395">
        <f t="shared" si="29"/>
        <v>72.805638785046725</v>
      </c>
      <c r="L72" s="396">
        <f t="shared" si="30"/>
        <v>0.10116495327102809</v>
      </c>
      <c r="M72" s="397">
        <f t="shared" si="31"/>
        <v>19.805638785046732</v>
      </c>
      <c r="N72" s="417">
        <f t="shared" si="32"/>
        <v>24.665638785046728</v>
      </c>
    </row>
    <row r="73" spans="1:29" ht="15.75" thickBot="1" x14ac:dyDescent="0.3">
      <c r="A73" s="109" t="s">
        <v>4</v>
      </c>
      <c r="B73" s="421">
        <f t="shared" ref="B73:D73" si="34">B63</f>
        <v>89</v>
      </c>
      <c r="C73" s="422">
        <f t="shared" si="34"/>
        <v>16</v>
      </c>
      <c r="D73" s="423">
        <f t="shared" si="34"/>
        <v>0</v>
      </c>
      <c r="E73" s="401">
        <f>$B73*'Exceptions &amp; Events'!$B$9</f>
        <v>0.55179999999999996</v>
      </c>
      <c r="F73" s="402">
        <f>$B73*'Exceptions &amp; Events'!$B$19</f>
        <v>2.67</v>
      </c>
      <c r="G73" s="402">
        <f>$B73*'Exceptions &amp; Events'!$D$29</f>
        <v>2.67</v>
      </c>
      <c r="H73" s="402">
        <f>$B73*'Exceptions &amp; Events'!$D$38</f>
        <v>2.67</v>
      </c>
      <c r="I73" s="402">
        <f>$B73*'Exceptions &amp; Events'!$B$47</f>
        <v>0.44188084112149528</v>
      </c>
      <c r="J73" s="402">
        <f>$B73*'Exceptions &amp; Events'!$B$57</f>
        <v>0</v>
      </c>
      <c r="K73" s="403">
        <f t="shared" si="29"/>
        <v>79.996319158878507</v>
      </c>
      <c r="L73" s="404">
        <f t="shared" si="30"/>
        <v>0.10116495327102802</v>
      </c>
      <c r="M73" s="405">
        <f t="shared" si="31"/>
        <v>6.9963191588785048</v>
      </c>
      <c r="N73" s="426">
        <f t="shared" si="32"/>
        <v>12.336319158878505</v>
      </c>
    </row>
    <row r="74" spans="1:29" s="21" customFormat="1" ht="16.5" thickTop="1" thickBot="1" x14ac:dyDescent="0.3">
      <c r="A74" s="108" t="s">
        <v>75</v>
      </c>
      <c r="B74" s="427">
        <f>SUM(B70:B73)</f>
        <v>527</v>
      </c>
      <c r="C74" s="415">
        <f t="shared" ref="C74" si="35">SUM(C70:C73)</f>
        <v>66</v>
      </c>
      <c r="D74" s="416">
        <f t="shared" ref="D74" si="36">SUM(D70:D73)</f>
        <v>0</v>
      </c>
      <c r="E74" s="409">
        <f t="shared" ref="E74:K74" si="37">SUM(E70:E73)</f>
        <v>3.2674000000000003</v>
      </c>
      <c r="F74" s="410">
        <f t="shared" si="37"/>
        <v>15.809999999999999</v>
      </c>
      <c r="G74" s="410">
        <f t="shared" si="37"/>
        <v>15.809999999999999</v>
      </c>
      <c r="H74" s="410">
        <f t="shared" si="37"/>
        <v>15.809999999999999</v>
      </c>
      <c r="I74" s="410">
        <f t="shared" si="37"/>
        <v>2.6165303738317758</v>
      </c>
      <c r="J74" s="410">
        <f t="shared" si="37"/>
        <v>0</v>
      </c>
      <c r="K74" s="410">
        <f t="shared" si="37"/>
        <v>473.68606962616821</v>
      </c>
      <c r="L74" s="411">
        <f t="shared" si="30"/>
        <v>0.10116495327102808</v>
      </c>
      <c r="M74" s="412">
        <f t="shared" ref="M74:N74" si="38">SUM(M70:M73)</f>
        <v>38.584297663551403</v>
      </c>
      <c r="N74" s="418">
        <f t="shared" si="38"/>
        <v>54.844297663551394</v>
      </c>
    </row>
    <row r="75" spans="1:29" s="21" customFormat="1" x14ac:dyDescent="0.25">
      <c r="B75" s="803" t="s">
        <v>179</v>
      </c>
      <c r="C75" s="803"/>
      <c r="D75" s="803"/>
      <c r="E75" s="803"/>
      <c r="F75" s="803"/>
      <c r="G75" s="803"/>
      <c r="H75" s="803"/>
      <c r="I75" s="803"/>
      <c r="J75" s="803"/>
      <c r="K75" s="803"/>
      <c r="L75" s="803"/>
      <c r="M75" s="144"/>
      <c r="N75" s="144"/>
    </row>
    <row r="76" spans="1:29" s="21" customFormat="1" x14ac:dyDescent="0.25">
      <c r="B76" s="786"/>
      <c r="C76" s="786"/>
      <c r="D76" s="786"/>
      <c r="E76" s="786"/>
      <c r="F76" s="786"/>
      <c r="G76" s="786"/>
      <c r="H76" s="786"/>
      <c r="I76" s="786"/>
      <c r="J76" s="786"/>
      <c r="K76" s="786"/>
      <c r="L76" s="786"/>
      <c r="M76" s="144"/>
      <c r="N76" s="144"/>
    </row>
    <row r="77" spans="1:29" s="21" customFormat="1" x14ac:dyDescent="0.25">
      <c r="B77" s="143"/>
      <c r="C77" s="14"/>
      <c r="D77" s="14"/>
      <c r="E77" s="144"/>
      <c r="F77" s="144"/>
      <c r="G77" s="144"/>
      <c r="H77" s="144"/>
      <c r="I77" s="144"/>
      <c r="J77" s="144"/>
      <c r="K77" s="144"/>
      <c r="L77" s="145"/>
      <c r="M77" s="144"/>
      <c r="N77" s="144"/>
    </row>
    <row r="78" spans="1:29" s="21" customFormat="1" x14ac:dyDescent="0.25">
      <c r="B78" s="160" t="s">
        <v>178</v>
      </c>
      <c r="C78" s="14"/>
      <c r="D78" s="14"/>
      <c r="E78" s="14"/>
      <c r="F78" s="144"/>
      <c r="G78" s="144"/>
      <c r="H78" s="144"/>
      <c r="I78" s="144"/>
      <c r="J78" s="144"/>
      <c r="K78" s="144"/>
      <c r="L78" s="144"/>
      <c r="M78" s="145"/>
      <c r="N78" s="144"/>
      <c r="O78" s="144"/>
      <c r="P78" s="144"/>
      <c r="Q78" s="144"/>
      <c r="R78" s="144"/>
      <c r="S78" s="144"/>
      <c r="T78" s="144"/>
      <c r="U78" s="144"/>
      <c r="V78" s="144"/>
      <c r="W78" s="144"/>
      <c r="X78" s="144"/>
      <c r="Y78" s="144"/>
      <c r="Z78" s="144"/>
      <c r="AA78" s="144"/>
      <c r="AB78" s="145"/>
      <c r="AC78" s="144"/>
    </row>
    <row r="79" spans="1:29" s="8" customFormat="1" ht="15" customHeight="1" x14ac:dyDescent="0.2">
      <c r="B79" s="861" t="s">
        <v>419</v>
      </c>
      <c r="C79" s="861"/>
      <c r="D79" s="861"/>
      <c r="E79" s="861"/>
      <c r="F79" s="861"/>
      <c r="G79" s="861"/>
      <c r="H79" s="861"/>
      <c r="I79" s="861"/>
      <c r="J79" s="861"/>
      <c r="K79" s="861"/>
      <c r="L79" s="861"/>
      <c r="M79" s="348"/>
      <c r="N79" s="348"/>
      <c r="O79" s="348"/>
      <c r="P79" s="348"/>
      <c r="Q79" s="348"/>
      <c r="R79" s="348"/>
    </row>
    <row r="80" spans="1:29" s="8" customFormat="1" ht="15" customHeight="1" x14ac:dyDescent="0.2">
      <c r="B80" s="861"/>
      <c r="C80" s="861"/>
      <c r="D80" s="861"/>
      <c r="E80" s="861"/>
      <c r="F80" s="861"/>
      <c r="G80" s="861"/>
      <c r="H80" s="861"/>
      <c r="I80" s="861"/>
      <c r="J80" s="861"/>
      <c r="K80" s="861"/>
      <c r="L80" s="861"/>
      <c r="M80" s="348"/>
      <c r="N80" s="348"/>
      <c r="O80" s="348"/>
      <c r="P80" s="348"/>
      <c r="Q80" s="348"/>
      <c r="R80" s="348"/>
    </row>
    <row r="81" spans="1:29" s="8" customFormat="1" ht="15" customHeight="1" x14ac:dyDescent="0.25">
      <c r="B81" s="861" t="s">
        <v>425</v>
      </c>
      <c r="C81" s="861"/>
      <c r="D81" s="861"/>
      <c r="E81" s="861"/>
      <c r="F81" s="861"/>
      <c r="G81" s="861"/>
      <c r="H81" s="861"/>
      <c r="I81" s="861"/>
      <c r="J81" s="861"/>
      <c r="K81" s="861"/>
      <c r="L81" s="861"/>
      <c r="M81" s="463"/>
      <c r="N81" s="463"/>
      <c r="O81" s="137"/>
      <c r="P81" s="137"/>
      <c r="Q81" s="137"/>
      <c r="R81" s="137"/>
      <c r="S81" s="137"/>
      <c r="T81" s="137"/>
      <c r="U81" s="137"/>
      <c r="V81" s="137"/>
      <c r="W81" s="137"/>
      <c r="X81" s="137"/>
      <c r="Y81" s="137"/>
      <c r="Z81" s="137"/>
      <c r="AA81" s="137"/>
      <c r="AB81" s="137"/>
      <c r="AC81" s="137"/>
    </row>
    <row r="82" spans="1:29" s="8" customFormat="1" ht="15" customHeight="1" x14ac:dyDescent="0.25">
      <c r="B82" s="861"/>
      <c r="C82" s="861"/>
      <c r="D82" s="861"/>
      <c r="E82" s="861"/>
      <c r="F82" s="861"/>
      <c r="G82" s="861"/>
      <c r="H82" s="861"/>
      <c r="I82" s="861"/>
      <c r="J82" s="861"/>
      <c r="K82" s="861"/>
      <c r="L82" s="861"/>
      <c r="M82" s="463"/>
      <c r="N82" s="463"/>
      <c r="O82" s="137"/>
      <c r="P82" s="137"/>
      <c r="Q82" s="137"/>
      <c r="R82" s="137"/>
      <c r="S82" s="137"/>
      <c r="T82" s="137"/>
      <c r="U82" s="137"/>
      <c r="V82" s="137"/>
      <c r="W82" s="137"/>
      <c r="X82" s="137"/>
      <c r="Y82" s="137"/>
      <c r="Z82" s="137"/>
      <c r="AA82" s="137"/>
      <c r="AB82" s="137"/>
      <c r="AC82" s="137"/>
    </row>
    <row r="83" spans="1:29" s="8" customFormat="1" ht="15" customHeight="1" x14ac:dyDescent="0.25">
      <c r="B83" s="352" t="s">
        <v>424</v>
      </c>
      <c r="C83" s="351"/>
      <c r="D83" s="351"/>
      <c r="E83" s="351"/>
      <c r="F83" s="351"/>
      <c r="G83" s="351"/>
      <c r="H83" s="351"/>
      <c r="I83" s="351"/>
      <c r="J83" s="351"/>
      <c r="K83" s="351"/>
      <c r="L83" s="351"/>
      <c r="M83" s="351"/>
      <c r="N83" s="351"/>
      <c r="O83" s="137"/>
      <c r="P83" s="137"/>
      <c r="Q83" s="137"/>
      <c r="R83" s="137"/>
      <c r="S83" s="137"/>
      <c r="T83" s="137"/>
      <c r="U83" s="137"/>
      <c r="V83" s="137"/>
      <c r="W83" s="137"/>
      <c r="X83" s="137"/>
      <c r="Y83" s="137"/>
      <c r="Z83" s="137"/>
      <c r="AA83" s="137"/>
      <c r="AB83" s="137"/>
      <c r="AC83" s="137"/>
    </row>
    <row r="84" spans="1:29" x14ac:dyDescent="0.25">
      <c r="B84" s="18"/>
    </row>
    <row r="85" spans="1:29" x14ac:dyDescent="0.25">
      <c r="B85" s="116" t="s">
        <v>156</v>
      </c>
    </row>
    <row r="86" spans="1:29" x14ac:dyDescent="0.25">
      <c r="B86" s="18" t="s">
        <v>412</v>
      </c>
    </row>
    <row r="87" spans="1:29" x14ac:dyDescent="0.25">
      <c r="B87" s="18" t="s">
        <v>413</v>
      </c>
    </row>
    <row r="88" spans="1:29" x14ac:dyDescent="0.25">
      <c r="B88" s="18" t="s">
        <v>414</v>
      </c>
    </row>
    <row r="89" spans="1:29" x14ac:dyDescent="0.25">
      <c r="B89" s="18" t="s">
        <v>415</v>
      </c>
    </row>
    <row r="90" spans="1:29" x14ac:dyDescent="0.25">
      <c r="B90" s="18" t="s">
        <v>430</v>
      </c>
    </row>
    <row r="91" spans="1:29" x14ac:dyDescent="0.25">
      <c r="B91" s="18" t="s">
        <v>431</v>
      </c>
    </row>
    <row r="92" spans="1:29" x14ac:dyDescent="0.25">
      <c r="B92" s="18" t="s">
        <v>416</v>
      </c>
    </row>
    <row r="93" spans="1:29" x14ac:dyDescent="0.25">
      <c r="B93" s="18" t="s">
        <v>417</v>
      </c>
    </row>
    <row r="94" spans="1:29" x14ac:dyDescent="0.25">
      <c r="B94" s="18" t="s">
        <v>420</v>
      </c>
    </row>
    <row r="95" spans="1:29" ht="15.75" thickBot="1" x14ac:dyDescent="0.3">
      <c r="A95" s="18"/>
    </row>
    <row r="96" spans="1:29" ht="15.75" thickBot="1" x14ac:dyDescent="0.3">
      <c r="A96" s="3" t="s">
        <v>838</v>
      </c>
      <c r="K96" s="865" t="s">
        <v>199</v>
      </c>
      <c r="L96" s="866"/>
      <c r="M96" s="866"/>
      <c r="N96" s="867"/>
    </row>
    <row r="97" spans="1:26" ht="60" x14ac:dyDescent="0.25">
      <c r="K97" s="186" t="s">
        <v>197</v>
      </c>
      <c r="L97" s="187" t="s">
        <v>197</v>
      </c>
      <c r="M97" s="187" t="s">
        <v>196</v>
      </c>
      <c r="N97" s="200" t="s">
        <v>195</v>
      </c>
    </row>
    <row r="98" spans="1:26" s="6" customFormat="1" ht="210" x14ac:dyDescent="0.25">
      <c r="A98" s="868" t="s">
        <v>445</v>
      </c>
      <c r="B98" s="104" t="s">
        <v>182</v>
      </c>
      <c r="C98" s="185" t="s">
        <v>166</v>
      </c>
      <c r="D98" s="179" t="s">
        <v>167</v>
      </c>
      <c r="E98" s="177" t="s">
        <v>180</v>
      </c>
      <c r="F98" s="177" t="s">
        <v>181</v>
      </c>
      <c r="G98" s="177" t="s">
        <v>169</v>
      </c>
      <c r="H98" s="177" t="s">
        <v>170</v>
      </c>
      <c r="I98" s="101" t="s">
        <v>171</v>
      </c>
      <c r="J98" s="202" t="s">
        <v>172</v>
      </c>
      <c r="K98" s="207" t="s">
        <v>917</v>
      </c>
      <c r="L98" s="101" t="s">
        <v>918</v>
      </c>
      <c r="M98" s="177" t="s">
        <v>204</v>
      </c>
      <c r="N98" s="201" t="s">
        <v>206</v>
      </c>
      <c r="O98" s="1"/>
      <c r="P98" s="1"/>
      <c r="Q98" s="1"/>
      <c r="R98" s="1"/>
      <c r="S98" s="1"/>
      <c r="T98" s="1"/>
      <c r="U98" s="1"/>
      <c r="V98" s="1"/>
      <c r="W98" s="1"/>
      <c r="X98" s="1"/>
      <c r="Y98" s="1"/>
      <c r="Z98" s="1"/>
    </row>
    <row r="99" spans="1:26" s="6" customFormat="1" ht="15.75" customHeight="1" x14ac:dyDescent="0.25">
      <c r="A99" s="869"/>
      <c r="B99" s="107" t="s">
        <v>155</v>
      </c>
      <c r="C99" s="877" t="s">
        <v>255</v>
      </c>
      <c r="D99" s="878"/>
      <c r="E99" s="878"/>
      <c r="F99" s="878"/>
      <c r="G99" s="878"/>
      <c r="H99" s="878"/>
      <c r="I99" s="878"/>
      <c r="J99" s="878"/>
      <c r="K99" s="878"/>
      <c r="L99" s="878"/>
      <c r="M99" s="878"/>
      <c r="N99" s="879"/>
      <c r="O99" s="1"/>
      <c r="P99" s="1"/>
      <c r="Q99" s="1"/>
      <c r="R99" s="1"/>
      <c r="S99" s="1"/>
      <c r="T99" s="1"/>
      <c r="U99" s="1"/>
      <c r="V99" s="1"/>
      <c r="W99" s="1"/>
      <c r="X99" s="1"/>
      <c r="Y99" s="1"/>
      <c r="Z99" s="1"/>
    </row>
    <row r="100" spans="1:26" x14ac:dyDescent="0.25">
      <c r="A100" s="67" t="s">
        <v>0</v>
      </c>
      <c r="B100" s="119">
        <v>94</v>
      </c>
      <c r="C100" s="393">
        <f>$B100*'Exceptions &amp; Events'!$F$10</f>
        <v>0.58279999999999998</v>
      </c>
      <c r="D100" s="394">
        <f>$B100*'Exceptions &amp; Events'!$F$20</f>
        <v>2.82</v>
      </c>
      <c r="E100" s="394">
        <f>$B100*'Exceptions &amp; Events'!$F$30</f>
        <v>4.7</v>
      </c>
      <c r="F100" s="394">
        <f>$B100*'Exceptions &amp; Events'!$F$39</f>
        <v>4.7</v>
      </c>
      <c r="G100" s="394">
        <f>$B100*'Exceptions &amp; Events'!$F$48</f>
        <v>0.46670560747663548</v>
      </c>
      <c r="H100" s="394">
        <f>$B100*'Exceptions &amp; Events'!$F$58</f>
        <v>0</v>
      </c>
      <c r="I100" s="395">
        <f t="shared" ref="I100:I106" si="39">$B100-SUM(C100:H100)</f>
        <v>80.730494392523369</v>
      </c>
      <c r="J100" s="432">
        <f>($B100-I100)/$B100</f>
        <v>0.14116495327102799</v>
      </c>
      <c r="K100" s="439">
        <f>B100-SUM(C100:D100,G100:H100)</f>
        <v>90.13049439252336</v>
      </c>
      <c r="L100" s="203">
        <v>0</v>
      </c>
      <c r="M100" s="398">
        <f>I100</f>
        <v>80.730494392523369</v>
      </c>
      <c r="N100" s="417">
        <f>$B100-SUM($C100,D100,G100,$H100)</f>
        <v>90.13049439252336</v>
      </c>
    </row>
    <row r="101" spans="1:26" x14ac:dyDescent="0.25">
      <c r="A101" s="67" t="s">
        <v>1</v>
      </c>
      <c r="B101" s="119">
        <v>211</v>
      </c>
      <c r="C101" s="393">
        <f>$B101*'Exceptions &amp; Events'!$F$10</f>
        <v>1.3082</v>
      </c>
      <c r="D101" s="394">
        <f>$B101*'Exceptions &amp; Events'!$F$20</f>
        <v>6.33</v>
      </c>
      <c r="E101" s="394">
        <f>$B101*'Exceptions &amp; Events'!$F$30</f>
        <v>10.55</v>
      </c>
      <c r="F101" s="394">
        <f>$B101*'Exceptions &amp; Events'!$F$39</f>
        <v>10.55</v>
      </c>
      <c r="G101" s="394">
        <f>$B101*'Exceptions &amp; Events'!$F$48</f>
        <v>1.0476051401869158</v>
      </c>
      <c r="H101" s="394">
        <f>$B101*'Exceptions &amp; Events'!$F$58</f>
        <v>0</v>
      </c>
      <c r="I101" s="395">
        <f t="shared" si="39"/>
        <v>181.21419485981309</v>
      </c>
      <c r="J101" s="433">
        <f t="shared" ref="J101:J107" si="40">($B101-I101)/$B101</f>
        <v>0.14116495327102802</v>
      </c>
      <c r="K101" s="439">
        <f>47+60-(SUM($C101:$D101,$G101:$H101))/2</f>
        <v>102.65709742990654</v>
      </c>
      <c r="L101" s="398">
        <f>104-(SUM($C101:$D101,$G101:$H101))/2</f>
        <v>99.657097429906543</v>
      </c>
      <c r="M101" s="398">
        <f t="shared" ref="M101:M106" si="41">I101</f>
        <v>181.21419485981309</v>
      </c>
      <c r="N101" s="417">
        <f t="shared" ref="N101:N106" si="42">B101-SUM(C101,D101,G101,H101)</f>
        <v>202.31419485981309</v>
      </c>
    </row>
    <row r="102" spans="1:26" x14ac:dyDescent="0.25">
      <c r="A102" s="67" t="s">
        <v>3</v>
      </c>
      <c r="B102" s="119">
        <v>26</v>
      </c>
      <c r="C102" s="393">
        <f>$B102*'Exceptions &amp; Events'!$F$10</f>
        <v>0.16119999999999998</v>
      </c>
      <c r="D102" s="394">
        <f>$B102*'Exceptions &amp; Events'!$F$20</f>
        <v>0.78</v>
      </c>
      <c r="E102" s="394">
        <f>$B102*'Exceptions &amp; Events'!$F$30</f>
        <v>1.3</v>
      </c>
      <c r="F102" s="394">
        <f>$B102*'Exceptions &amp; Events'!$F$39</f>
        <v>1.3</v>
      </c>
      <c r="G102" s="394">
        <f>$B102*'Exceptions &amp; Events'!$F$48</f>
        <v>0.12908878504672897</v>
      </c>
      <c r="H102" s="394">
        <f>$B102*'Exceptions &amp; Events'!$F$58</f>
        <v>0</v>
      </c>
      <c r="I102" s="395">
        <f t="shared" si="39"/>
        <v>22.329711214953271</v>
      </c>
      <c r="J102" s="433">
        <f t="shared" si="40"/>
        <v>0.14116495327102804</v>
      </c>
      <c r="K102" s="439">
        <f t="shared" ref="K102:K106" si="43">B102-SUM(C102:D102,G102:H102)</f>
        <v>24.929711214953272</v>
      </c>
      <c r="L102" s="203">
        <v>0</v>
      </c>
      <c r="M102" s="398">
        <f t="shared" si="41"/>
        <v>22.329711214953271</v>
      </c>
      <c r="N102" s="417">
        <f t="shared" si="42"/>
        <v>24.929711214953272</v>
      </c>
    </row>
    <row r="103" spans="1:26" x14ac:dyDescent="0.25">
      <c r="A103" s="67" t="s">
        <v>4</v>
      </c>
      <c r="B103" s="119">
        <v>253</v>
      </c>
      <c r="C103" s="393">
        <f>$B103*'Exceptions &amp; Events'!$F$10</f>
        <v>1.5686</v>
      </c>
      <c r="D103" s="394">
        <f>$B103*'Exceptions &amp; Events'!$F$20</f>
        <v>7.59</v>
      </c>
      <c r="E103" s="394">
        <f>$B103*'Exceptions &amp; Events'!$F$30</f>
        <v>12.65</v>
      </c>
      <c r="F103" s="394">
        <f>$B103*'Exceptions &amp; Events'!$F$39</f>
        <v>12.65</v>
      </c>
      <c r="G103" s="394">
        <f>$B103*'Exceptions &amp; Events'!$F$48</f>
        <v>1.2561331775700935</v>
      </c>
      <c r="H103" s="394">
        <f>$B103*'Exceptions &amp; Events'!$F$58</f>
        <v>0</v>
      </c>
      <c r="I103" s="395">
        <f t="shared" si="39"/>
        <v>217.28526682242992</v>
      </c>
      <c r="J103" s="433">
        <f t="shared" si="40"/>
        <v>0.14116495327102799</v>
      </c>
      <c r="K103" s="439">
        <f>26+19+156-(SUM($C103:$D103,$G103:$H103))/2</f>
        <v>195.79263341121495</v>
      </c>
      <c r="L103" s="398">
        <f>23+29-(SUM($C103:$D103,$G103:$H103))/2</f>
        <v>46.79263341121495</v>
      </c>
      <c r="M103" s="398">
        <f t="shared" si="41"/>
        <v>217.28526682242992</v>
      </c>
      <c r="N103" s="417">
        <f t="shared" si="42"/>
        <v>242.5852668224299</v>
      </c>
    </row>
    <row r="104" spans="1:26" x14ac:dyDescent="0.25">
      <c r="A104" s="67" t="s">
        <v>5</v>
      </c>
      <c r="B104" s="119">
        <v>240</v>
      </c>
      <c r="C104" s="434">
        <f>$B104*'Exceptions &amp; Events'!$F$10</f>
        <v>1.488</v>
      </c>
      <c r="D104" s="435">
        <f>$B104*'Exceptions &amp; Events'!$F$20</f>
        <v>7.1999999999999993</v>
      </c>
      <c r="E104" s="435">
        <f>$B104*'Exceptions &amp; Events'!$F$30</f>
        <v>12</v>
      </c>
      <c r="F104" s="435">
        <f>$B104*'Exceptions &amp; Events'!$F$39</f>
        <v>12</v>
      </c>
      <c r="G104" s="435">
        <f>$B104*'Exceptions &amp; Events'!$F$48</f>
        <v>1.1915887850467288</v>
      </c>
      <c r="H104" s="435">
        <f>$B104*'Exceptions &amp; Events'!$F$58</f>
        <v>0</v>
      </c>
      <c r="I104" s="436">
        <f t="shared" si="39"/>
        <v>206.12041121495326</v>
      </c>
      <c r="J104" s="437">
        <f t="shared" si="40"/>
        <v>0.14116495327102807</v>
      </c>
      <c r="K104" s="204">
        <v>0</v>
      </c>
      <c r="L104" s="398">
        <f>B104-SUM(C104:D104,G104:H104)</f>
        <v>230.12041121495326</v>
      </c>
      <c r="M104" s="398">
        <f t="shared" si="41"/>
        <v>206.12041121495326</v>
      </c>
      <c r="N104" s="417">
        <f t="shared" si="42"/>
        <v>230.12041121495326</v>
      </c>
    </row>
    <row r="105" spans="1:26" x14ac:dyDescent="0.25">
      <c r="A105" s="102" t="s">
        <v>531</v>
      </c>
      <c r="B105" s="119">
        <v>71</v>
      </c>
      <c r="C105" s="393">
        <f>$B105*'Exceptions &amp; Events'!$F$10</f>
        <v>0.44019999999999998</v>
      </c>
      <c r="D105" s="394">
        <f>$B105*'Exceptions &amp; Events'!$F$20</f>
        <v>2.13</v>
      </c>
      <c r="E105" s="394">
        <f>$B105*'Exceptions &amp; Events'!$F$30</f>
        <v>3.5500000000000003</v>
      </c>
      <c r="F105" s="394">
        <f>$B105*'Exceptions &amp; Events'!$F$39</f>
        <v>3.5500000000000003</v>
      </c>
      <c r="G105" s="394">
        <f>$B105*'Exceptions &amp; Events'!$F$48</f>
        <v>0.35251168224299062</v>
      </c>
      <c r="H105" s="394">
        <f>$B105*'Exceptions &amp; Events'!$F$58</f>
        <v>0</v>
      </c>
      <c r="I105" s="395">
        <f t="shared" si="39"/>
        <v>60.977288317757008</v>
      </c>
      <c r="J105" s="433">
        <f t="shared" si="40"/>
        <v>0.14116495327102804</v>
      </c>
      <c r="K105" s="439">
        <f t="shared" si="43"/>
        <v>68.077288317757009</v>
      </c>
      <c r="L105" s="203">
        <v>0</v>
      </c>
      <c r="M105" s="398">
        <f t="shared" si="41"/>
        <v>60.977288317757008</v>
      </c>
      <c r="N105" s="417">
        <f t="shared" si="42"/>
        <v>68.077288317757009</v>
      </c>
    </row>
    <row r="106" spans="1:26" ht="15.75" thickBot="1" x14ac:dyDescent="0.3">
      <c r="A106" s="102" t="s">
        <v>558</v>
      </c>
      <c r="B106" s="120">
        <v>122</v>
      </c>
      <c r="C106" s="401">
        <f>$B106*'Exceptions &amp; Events'!$F$10</f>
        <v>0.75639999999999996</v>
      </c>
      <c r="D106" s="402">
        <f>$B106*'Exceptions &amp; Events'!$F$20</f>
        <v>3.6599999999999997</v>
      </c>
      <c r="E106" s="402">
        <f>$B106*'Exceptions &amp; Events'!$F$30</f>
        <v>6.1000000000000005</v>
      </c>
      <c r="F106" s="402">
        <f>$B106*'Exceptions &amp; Events'!$F$39</f>
        <v>6.1000000000000005</v>
      </c>
      <c r="G106" s="402">
        <f>$B106*'Exceptions &amp; Events'!$F$48</f>
        <v>0.60572429906542047</v>
      </c>
      <c r="H106" s="402">
        <f>$B106*'Exceptions &amp; Events'!$F$58</f>
        <v>0</v>
      </c>
      <c r="I106" s="403">
        <f t="shared" si="39"/>
        <v>104.77787570093457</v>
      </c>
      <c r="J106" s="438">
        <f t="shared" si="40"/>
        <v>0.1411649532710281</v>
      </c>
      <c r="K106" s="440">
        <f t="shared" si="43"/>
        <v>116.97787570093458</v>
      </c>
      <c r="L106" s="205">
        <v>0</v>
      </c>
      <c r="M106" s="406">
        <f t="shared" si="41"/>
        <v>104.77787570093457</v>
      </c>
      <c r="N106" s="426">
        <f t="shared" si="42"/>
        <v>116.97787570093458</v>
      </c>
    </row>
    <row r="107" spans="1:26" s="21" customFormat="1" ht="16.5" thickTop="1" thickBot="1" x14ac:dyDescent="0.3">
      <c r="A107" s="117" t="s">
        <v>75</v>
      </c>
      <c r="B107" s="427">
        <f>SUM(B100:B106)</f>
        <v>1017</v>
      </c>
      <c r="C107" s="409">
        <f>SUM(C100:C106)</f>
        <v>6.3054000000000006</v>
      </c>
      <c r="D107" s="410">
        <f t="shared" ref="D107:L107" si="44">SUM(D100:D106)</f>
        <v>30.509999999999998</v>
      </c>
      <c r="E107" s="410">
        <f t="shared" si="44"/>
        <v>50.85</v>
      </c>
      <c r="F107" s="410">
        <f t="shared" si="44"/>
        <v>50.85</v>
      </c>
      <c r="G107" s="410">
        <f t="shared" si="44"/>
        <v>5.0493574766355147</v>
      </c>
      <c r="H107" s="410">
        <f t="shared" si="44"/>
        <v>0</v>
      </c>
      <c r="I107" s="410">
        <f t="shared" si="44"/>
        <v>873.43524252336454</v>
      </c>
      <c r="J107" s="428">
        <f t="shared" si="40"/>
        <v>0.14116495327102799</v>
      </c>
      <c r="K107" s="429">
        <f t="shared" si="44"/>
        <v>598.56510046728965</v>
      </c>
      <c r="L107" s="430">
        <f t="shared" si="44"/>
        <v>376.57014205607476</v>
      </c>
      <c r="M107" s="430">
        <f>SUM(M100:M106)</f>
        <v>873.43524252336454</v>
      </c>
      <c r="N107" s="431">
        <f>SUM(N100:N106)</f>
        <v>975.13524252336447</v>
      </c>
    </row>
    <row r="108" spans="1:26" s="14" customFormat="1" ht="15.75" thickBot="1" x14ac:dyDescent="0.3">
      <c r="A108" s="143"/>
      <c r="C108" s="144"/>
      <c r="D108" s="144"/>
      <c r="E108" s="144"/>
      <c r="F108" s="144"/>
      <c r="G108" s="144"/>
      <c r="H108" s="144"/>
      <c r="I108" s="144"/>
      <c r="J108" s="145"/>
      <c r="K108" s="206"/>
      <c r="L108" s="206"/>
      <c r="M108" s="206"/>
      <c r="N108" s="206"/>
    </row>
    <row r="109" spans="1:26" ht="15.75" thickBot="1" x14ac:dyDescent="0.3">
      <c r="A109" s="3" t="s">
        <v>838</v>
      </c>
      <c r="K109" s="865" t="s">
        <v>199</v>
      </c>
      <c r="L109" s="866"/>
      <c r="M109" s="866"/>
      <c r="N109" s="867"/>
    </row>
    <row r="110" spans="1:26" ht="60" x14ac:dyDescent="0.25">
      <c r="K110" s="186" t="s">
        <v>197</v>
      </c>
      <c r="L110" s="187" t="s">
        <v>197</v>
      </c>
      <c r="M110" s="187" t="s">
        <v>196</v>
      </c>
      <c r="N110" s="200" t="s">
        <v>195</v>
      </c>
    </row>
    <row r="111" spans="1:26" s="6" customFormat="1" ht="210" x14ac:dyDescent="0.25">
      <c r="A111" s="868" t="s">
        <v>445</v>
      </c>
      <c r="B111" s="185" t="s">
        <v>182</v>
      </c>
      <c r="C111" s="185" t="s">
        <v>166</v>
      </c>
      <c r="D111" s="179" t="s">
        <v>167</v>
      </c>
      <c r="E111" s="177" t="s">
        <v>180</v>
      </c>
      <c r="F111" s="177" t="s">
        <v>181</v>
      </c>
      <c r="G111" s="177" t="s">
        <v>169</v>
      </c>
      <c r="H111" s="177" t="s">
        <v>170</v>
      </c>
      <c r="I111" s="101" t="s">
        <v>171</v>
      </c>
      <c r="J111" s="202" t="s">
        <v>172</v>
      </c>
      <c r="K111" s="207" t="s">
        <v>917</v>
      </c>
      <c r="L111" s="101" t="s">
        <v>918</v>
      </c>
      <c r="M111" s="177" t="s">
        <v>204</v>
      </c>
      <c r="N111" s="201" t="s">
        <v>206</v>
      </c>
      <c r="O111" s="1"/>
      <c r="P111" s="1"/>
      <c r="Q111" s="1"/>
      <c r="R111" s="1"/>
      <c r="S111" s="1"/>
      <c r="T111" s="1"/>
      <c r="U111" s="1"/>
      <c r="V111" s="1"/>
      <c r="W111" s="1"/>
      <c r="X111" s="1"/>
      <c r="Y111" s="1"/>
      <c r="Z111" s="1"/>
    </row>
    <row r="112" spans="1:26" s="6" customFormat="1" ht="15.75" customHeight="1" x14ac:dyDescent="0.25">
      <c r="A112" s="869"/>
      <c r="B112" s="180" t="s">
        <v>155</v>
      </c>
      <c r="C112" s="877" t="s">
        <v>256</v>
      </c>
      <c r="D112" s="878"/>
      <c r="E112" s="878"/>
      <c r="F112" s="878"/>
      <c r="G112" s="878"/>
      <c r="H112" s="878"/>
      <c r="I112" s="878"/>
      <c r="J112" s="878"/>
      <c r="K112" s="878"/>
      <c r="L112" s="878"/>
      <c r="M112" s="878"/>
      <c r="N112" s="879"/>
      <c r="O112" s="1"/>
      <c r="P112" s="1"/>
      <c r="Q112" s="1"/>
      <c r="R112" s="1"/>
      <c r="S112" s="1"/>
      <c r="T112" s="1"/>
      <c r="U112" s="1"/>
      <c r="V112" s="1"/>
      <c r="W112" s="1"/>
      <c r="X112" s="1"/>
      <c r="Y112" s="1"/>
      <c r="Z112" s="1"/>
    </row>
    <row r="113" spans="1:29" x14ac:dyDescent="0.25">
      <c r="A113" s="67" t="s">
        <v>0</v>
      </c>
      <c r="B113" s="441">
        <f>B100</f>
        <v>94</v>
      </c>
      <c r="C113" s="393">
        <f>$B113*'Exceptions &amp; Events'!$F$10</f>
        <v>0.58279999999999998</v>
      </c>
      <c r="D113" s="394">
        <f>$B113*'Exceptions &amp; Events'!$F$20</f>
        <v>2.82</v>
      </c>
      <c r="E113" s="394">
        <f>$B113*'Exceptions &amp; Events'!$H$30</f>
        <v>2.82</v>
      </c>
      <c r="F113" s="394">
        <f>$B113*'Exceptions &amp; Events'!$H$39</f>
        <v>2.82</v>
      </c>
      <c r="G113" s="394">
        <f>$B113*'Exceptions &amp; Events'!$F$48</f>
        <v>0.46670560747663548</v>
      </c>
      <c r="H113" s="394">
        <f>$B113*'Exceptions &amp; Events'!$F$58</f>
        <v>0</v>
      </c>
      <c r="I113" s="395">
        <f t="shared" ref="I113:I119" si="45">$B113-SUM(C113:H113)</f>
        <v>84.49049439252336</v>
      </c>
      <c r="J113" s="432">
        <f>($B113-I113)/$B113</f>
        <v>0.10116495327102809</v>
      </c>
      <c r="K113" s="439">
        <f>B113-SUM(C113:D113,G113:H113)</f>
        <v>90.13049439252336</v>
      </c>
      <c r="L113" s="203">
        <v>0</v>
      </c>
      <c r="M113" s="398">
        <f>I113</f>
        <v>84.49049439252336</v>
      </c>
      <c r="N113" s="417">
        <f>$B113-SUM($C113,D113,G113,$H113)</f>
        <v>90.13049439252336</v>
      </c>
    </row>
    <row r="114" spans="1:29" x14ac:dyDescent="0.25">
      <c r="A114" s="67" t="s">
        <v>1</v>
      </c>
      <c r="B114" s="441">
        <f t="shared" ref="B114:B119" si="46">B101</f>
        <v>211</v>
      </c>
      <c r="C114" s="393">
        <f>$B114*'Exceptions &amp; Events'!$F$10</f>
        <v>1.3082</v>
      </c>
      <c r="D114" s="394">
        <f>$B114*'Exceptions &amp; Events'!$F$20</f>
        <v>6.33</v>
      </c>
      <c r="E114" s="394">
        <f>$B114*'Exceptions &amp; Events'!$H$30</f>
        <v>6.33</v>
      </c>
      <c r="F114" s="394">
        <f>$B114*'Exceptions &amp; Events'!$H$39</f>
        <v>6.33</v>
      </c>
      <c r="G114" s="394">
        <f>$B114*'Exceptions &amp; Events'!$F$48</f>
        <v>1.0476051401869158</v>
      </c>
      <c r="H114" s="394">
        <f>$B114*'Exceptions &amp; Events'!$F$58</f>
        <v>0</v>
      </c>
      <c r="I114" s="395">
        <f t="shared" si="45"/>
        <v>189.65419485981309</v>
      </c>
      <c r="J114" s="433">
        <f t="shared" ref="J114:J120" si="47">($B114-I114)/$B114</f>
        <v>0.10116495327102802</v>
      </c>
      <c r="K114" s="439">
        <f>47+60-(SUM($C114:$D114,$G114:$H114))/2</f>
        <v>102.65709742990654</v>
      </c>
      <c r="L114" s="398">
        <f>104-(SUM($C114:$D114,$G114:$H114))/2</f>
        <v>99.657097429906543</v>
      </c>
      <c r="M114" s="398">
        <f t="shared" ref="M114:M119" si="48">I114</f>
        <v>189.65419485981309</v>
      </c>
      <c r="N114" s="417">
        <f t="shared" ref="N114:N119" si="49">B114-SUM(C114,D114,G114,H114)</f>
        <v>202.31419485981309</v>
      </c>
    </row>
    <row r="115" spans="1:29" x14ac:dyDescent="0.25">
      <c r="A115" s="67" t="s">
        <v>3</v>
      </c>
      <c r="B115" s="441">
        <f t="shared" si="46"/>
        <v>26</v>
      </c>
      <c r="C115" s="393">
        <f>$B115*'Exceptions &amp; Events'!$F$10</f>
        <v>0.16119999999999998</v>
      </c>
      <c r="D115" s="394">
        <f>$B115*'Exceptions &amp; Events'!$F$20</f>
        <v>0.78</v>
      </c>
      <c r="E115" s="394">
        <f>$B115*'Exceptions &amp; Events'!$H$30</f>
        <v>0.78</v>
      </c>
      <c r="F115" s="394">
        <f>$B115*'Exceptions &amp; Events'!$H$39</f>
        <v>0.78</v>
      </c>
      <c r="G115" s="394">
        <f>$B115*'Exceptions &amp; Events'!$F$48</f>
        <v>0.12908878504672897</v>
      </c>
      <c r="H115" s="394">
        <f>$B115*'Exceptions &amp; Events'!$F$58</f>
        <v>0</v>
      </c>
      <c r="I115" s="395">
        <f t="shared" si="45"/>
        <v>23.36971121495327</v>
      </c>
      <c r="J115" s="433">
        <f t="shared" si="47"/>
        <v>0.10116495327102808</v>
      </c>
      <c r="K115" s="439">
        <f t="shared" ref="K115" si="50">B115-SUM(C115:D115,G115:H115)</f>
        <v>24.929711214953272</v>
      </c>
      <c r="L115" s="203">
        <v>0</v>
      </c>
      <c r="M115" s="398">
        <f t="shared" si="48"/>
        <v>23.36971121495327</v>
      </c>
      <c r="N115" s="417">
        <f t="shared" si="49"/>
        <v>24.929711214953272</v>
      </c>
    </row>
    <row r="116" spans="1:29" x14ac:dyDescent="0.25">
      <c r="A116" s="67" t="s">
        <v>4</v>
      </c>
      <c r="B116" s="441">
        <f t="shared" si="46"/>
        <v>253</v>
      </c>
      <c r="C116" s="393">
        <f>$B116*'Exceptions &amp; Events'!$F$10</f>
        <v>1.5686</v>
      </c>
      <c r="D116" s="394">
        <f>$B116*'Exceptions &amp; Events'!$F$20</f>
        <v>7.59</v>
      </c>
      <c r="E116" s="394">
        <f>$B116*'Exceptions &amp; Events'!$H$30</f>
        <v>7.59</v>
      </c>
      <c r="F116" s="394">
        <f>$B116*'Exceptions &amp; Events'!$H$39</f>
        <v>7.59</v>
      </c>
      <c r="G116" s="394">
        <f>$B116*'Exceptions &amp; Events'!$F$48</f>
        <v>1.2561331775700935</v>
      </c>
      <c r="H116" s="394">
        <f>$B116*'Exceptions &amp; Events'!$F$58</f>
        <v>0</v>
      </c>
      <c r="I116" s="395">
        <f t="shared" si="45"/>
        <v>227.40526682242989</v>
      </c>
      <c r="J116" s="433">
        <f t="shared" si="47"/>
        <v>0.10116495327102809</v>
      </c>
      <c r="K116" s="439">
        <f>26+19+156-(SUM($C116:$D116,$G116:$H116))/2</f>
        <v>195.79263341121495</v>
      </c>
      <c r="L116" s="398">
        <f>23+29-(SUM($C116:$D116,$G116:$H116))/2</f>
        <v>46.79263341121495</v>
      </c>
      <c r="M116" s="398">
        <f t="shared" si="48"/>
        <v>227.40526682242989</v>
      </c>
      <c r="N116" s="417">
        <f t="shared" si="49"/>
        <v>242.5852668224299</v>
      </c>
    </row>
    <row r="117" spans="1:29" x14ac:dyDescent="0.25">
      <c r="A117" s="67" t="s">
        <v>5</v>
      </c>
      <c r="B117" s="441">
        <f t="shared" si="46"/>
        <v>240</v>
      </c>
      <c r="C117" s="434">
        <f>$B117*'Exceptions &amp; Events'!$F$10</f>
        <v>1.488</v>
      </c>
      <c r="D117" s="435">
        <f>$B117*'Exceptions &amp; Events'!$F$20</f>
        <v>7.1999999999999993</v>
      </c>
      <c r="E117" s="435">
        <f>$B117*'Exceptions &amp; Events'!$H$30</f>
        <v>7.1999999999999993</v>
      </c>
      <c r="F117" s="435">
        <f>$B117*'Exceptions &amp; Events'!$H$39</f>
        <v>7.1999999999999993</v>
      </c>
      <c r="G117" s="435">
        <f>$B117*'Exceptions &amp; Events'!$F$48</f>
        <v>1.1915887850467288</v>
      </c>
      <c r="H117" s="435">
        <f>$B117*'Exceptions &amp; Events'!$F$58</f>
        <v>0</v>
      </c>
      <c r="I117" s="436">
        <f t="shared" si="45"/>
        <v>215.72041121495329</v>
      </c>
      <c r="J117" s="437">
        <f t="shared" si="47"/>
        <v>0.10116495327102797</v>
      </c>
      <c r="K117" s="204">
        <v>0</v>
      </c>
      <c r="L117" s="398">
        <f>B117-SUM(C117:D117,G117:H117)</f>
        <v>230.12041121495326</v>
      </c>
      <c r="M117" s="398">
        <f t="shared" si="48"/>
        <v>215.72041121495329</v>
      </c>
      <c r="N117" s="417">
        <f t="shared" si="49"/>
        <v>230.12041121495326</v>
      </c>
    </row>
    <row r="118" spans="1:29" x14ac:dyDescent="0.25">
      <c r="A118" s="102" t="s">
        <v>531</v>
      </c>
      <c r="B118" s="441">
        <f t="shared" si="46"/>
        <v>71</v>
      </c>
      <c r="C118" s="393">
        <f>$B118*'Exceptions &amp; Events'!$F$10</f>
        <v>0.44019999999999998</v>
      </c>
      <c r="D118" s="394">
        <f>$B118*'Exceptions &amp; Events'!$F$20</f>
        <v>2.13</v>
      </c>
      <c r="E118" s="394">
        <f>$B118*'Exceptions &amp; Events'!$H$30</f>
        <v>2.13</v>
      </c>
      <c r="F118" s="394">
        <f>$B118*'Exceptions &amp; Events'!$H$39</f>
        <v>2.13</v>
      </c>
      <c r="G118" s="394">
        <f>$B118*'Exceptions &amp; Events'!$F$48</f>
        <v>0.35251168224299062</v>
      </c>
      <c r="H118" s="394">
        <f>$B118*'Exceptions &amp; Events'!$F$58</f>
        <v>0</v>
      </c>
      <c r="I118" s="395">
        <f t="shared" si="45"/>
        <v>63.817288317757011</v>
      </c>
      <c r="J118" s="433">
        <f t="shared" si="47"/>
        <v>0.10116495327102801</v>
      </c>
      <c r="K118" s="439">
        <f t="shared" ref="K118:K119" si="51">B118-SUM(C118:D118,G118:H118)</f>
        <v>68.077288317757009</v>
      </c>
      <c r="L118" s="203">
        <v>0</v>
      </c>
      <c r="M118" s="398">
        <f t="shared" si="48"/>
        <v>63.817288317757011</v>
      </c>
      <c r="N118" s="417">
        <f t="shared" si="49"/>
        <v>68.077288317757009</v>
      </c>
    </row>
    <row r="119" spans="1:29" ht="15.75" thickBot="1" x14ac:dyDescent="0.3">
      <c r="A119" s="102" t="s">
        <v>558</v>
      </c>
      <c r="B119" s="442">
        <f t="shared" si="46"/>
        <v>122</v>
      </c>
      <c r="C119" s="401">
        <f>$B119*'Exceptions &amp; Events'!$F$10</f>
        <v>0.75639999999999996</v>
      </c>
      <c r="D119" s="402">
        <f>$B119*'Exceptions &amp; Events'!$F$20</f>
        <v>3.6599999999999997</v>
      </c>
      <c r="E119" s="402">
        <f>$B119*'Exceptions &amp; Events'!$H$30</f>
        <v>3.6599999999999997</v>
      </c>
      <c r="F119" s="402">
        <f>$B119*'Exceptions &amp; Events'!$H$39</f>
        <v>3.6599999999999997</v>
      </c>
      <c r="G119" s="402">
        <f>$B119*'Exceptions &amp; Events'!$F$48</f>
        <v>0.60572429906542047</v>
      </c>
      <c r="H119" s="402">
        <f>$B119*'Exceptions &amp; Events'!$F$58</f>
        <v>0</v>
      </c>
      <c r="I119" s="403">
        <f t="shared" si="45"/>
        <v>109.65787570093458</v>
      </c>
      <c r="J119" s="438">
        <f t="shared" si="47"/>
        <v>0.10116495327102802</v>
      </c>
      <c r="K119" s="440">
        <f t="shared" si="51"/>
        <v>116.97787570093458</v>
      </c>
      <c r="L119" s="205">
        <v>0</v>
      </c>
      <c r="M119" s="406">
        <f t="shared" si="48"/>
        <v>109.65787570093458</v>
      </c>
      <c r="N119" s="426">
        <f t="shared" si="49"/>
        <v>116.97787570093458</v>
      </c>
    </row>
    <row r="120" spans="1:29" s="21" customFormat="1" ht="16.5" thickTop="1" thickBot="1" x14ac:dyDescent="0.3">
      <c r="A120" s="117" t="s">
        <v>75</v>
      </c>
      <c r="B120" s="427">
        <f>SUM(B113:B119)</f>
        <v>1017</v>
      </c>
      <c r="C120" s="409">
        <f>SUM(C113:C119)</f>
        <v>6.3054000000000006</v>
      </c>
      <c r="D120" s="410">
        <f t="shared" ref="D120:I120" si="52">SUM(D113:D119)</f>
        <v>30.509999999999998</v>
      </c>
      <c r="E120" s="410">
        <f t="shared" si="52"/>
        <v>30.509999999999998</v>
      </c>
      <c r="F120" s="410">
        <f t="shared" si="52"/>
        <v>30.509999999999998</v>
      </c>
      <c r="G120" s="410">
        <f t="shared" si="52"/>
        <v>5.0493574766355147</v>
      </c>
      <c r="H120" s="410">
        <f t="shared" si="52"/>
        <v>0</v>
      </c>
      <c r="I120" s="410">
        <f t="shared" si="52"/>
        <v>914.1152425233646</v>
      </c>
      <c r="J120" s="428">
        <f t="shared" si="47"/>
        <v>0.10116495327102792</v>
      </c>
      <c r="K120" s="429">
        <f t="shared" ref="K120:M120" si="53">SUM(K113:K119)</f>
        <v>598.56510046728965</v>
      </c>
      <c r="L120" s="206">
        <f t="shared" si="53"/>
        <v>376.57014205607476</v>
      </c>
      <c r="M120" s="430">
        <f t="shared" si="53"/>
        <v>914.1152425233646</v>
      </c>
      <c r="N120" s="431">
        <f>SUM(N113:N119)</f>
        <v>975.13524252336447</v>
      </c>
    </row>
    <row r="121" spans="1:29" ht="15" customHeight="1" x14ac:dyDescent="0.25">
      <c r="B121" s="786" t="s">
        <v>179</v>
      </c>
      <c r="C121" s="786"/>
      <c r="D121" s="786"/>
      <c r="E121" s="786"/>
      <c r="F121" s="786"/>
      <c r="G121" s="786"/>
      <c r="H121" s="786"/>
      <c r="I121" s="786"/>
      <c r="J121" s="786"/>
      <c r="K121" s="786"/>
      <c r="L121" s="786"/>
      <c r="M121" s="123"/>
      <c r="N121" s="123"/>
    </row>
    <row r="122" spans="1:29" x14ac:dyDescent="0.25">
      <c r="B122" s="786"/>
      <c r="C122" s="786"/>
      <c r="D122" s="786"/>
      <c r="E122" s="786"/>
      <c r="F122" s="786"/>
      <c r="G122" s="786"/>
      <c r="H122" s="786"/>
      <c r="I122" s="786"/>
      <c r="J122" s="786"/>
      <c r="K122" s="786"/>
      <c r="L122" s="786"/>
      <c r="M122" s="123"/>
      <c r="N122" s="123"/>
    </row>
    <row r="123" spans="1:29" s="21" customFormat="1" x14ac:dyDescent="0.25">
      <c r="B123" s="160" t="s">
        <v>178</v>
      </c>
      <c r="C123" s="14"/>
      <c r="D123" s="14"/>
      <c r="E123" s="14"/>
      <c r="F123" s="144"/>
      <c r="G123" s="144"/>
      <c r="H123" s="144"/>
      <c r="I123" s="144"/>
      <c r="J123" s="144"/>
      <c r="K123" s="144"/>
      <c r="L123" s="144"/>
      <c r="M123" s="145"/>
      <c r="N123" s="144"/>
      <c r="O123" s="144"/>
      <c r="P123" s="144"/>
      <c r="Q123" s="144"/>
      <c r="R123" s="144"/>
      <c r="S123" s="144"/>
      <c r="T123" s="144"/>
      <c r="U123" s="144"/>
      <c r="V123" s="144"/>
      <c r="W123" s="144"/>
      <c r="X123" s="144"/>
      <c r="Y123" s="144"/>
      <c r="Z123" s="144"/>
      <c r="AA123" s="144"/>
      <c r="AB123" s="145"/>
      <c r="AC123" s="144"/>
    </row>
    <row r="124" spans="1:29" s="8" customFormat="1" x14ac:dyDescent="0.25">
      <c r="B124" s="18" t="s">
        <v>421</v>
      </c>
    </row>
    <row r="125" spans="1:29" x14ac:dyDescent="0.25">
      <c r="B125" s="18"/>
    </row>
    <row r="126" spans="1:29" x14ac:dyDescent="0.25">
      <c r="B126" s="116" t="s">
        <v>156</v>
      </c>
    </row>
    <row r="127" spans="1:29" x14ac:dyDescent="0.25">
      <c r="B127" s="18" t="s">
        <v>412</v>
      </c>
    </row>
    <row r="128" spans="1:29" x14ac:dyDescent="0.25">
      <c r="B128" s="18" t="s">
        <v>413</v>
      </c>
    </row>
    <row r="129" spans="1:26" x14ac:dyDescent="0.25">
      <c r="B129" s="18" t="s">
        <v>414</v>
      </c>
    </row>
    <row r="130" spans="1:26" x14ac:dyDescent="0.25">
      <c r="B130" s="18" t="s">
        <v>415</v>
      </c>
    </row>
    <row r="131" spans="1:26" x14ac:dyDescent="0.25">
      <c r="B131" s="18" t="s">
        <v>430</v>
      </c>
    </row>
    <row r="132" spans="1:26" x14ac:dyDescent="0.25">
      <c r="B132" s="18" t="s">
        <v>431</v>
      </c>
    </row>
    <row r="133" spans="1:26" x14ac:dyDescent="0.25">
      <c r="B133" s="18" t="s">
        <v>416</v>
      </c>
    </row>
    <row r="134" spans="1:26" x14ac:dyDescent="0.25">
      <c r="B134" s="18" t="s">
        <v>422</v>
      </c>
    </row>
    <row r="135" spans="1:26" ht="15" customHeight="1" x14ac:dyDescent="0.25">
      <c r="B135" s="786" t="s">
        <v>576</v>
      </c>
      <c r="C135" s="786"/>
      <c r="D135" s="786"/>
      <c r="E135" s="786"/>
      <c r="F135" s="786"/>
      <c r="G135" s="786"/>
      <c r="H135" s="786"/>
      <c r="I135" s="786"/>
      <c r="J135" s="786"/>
      <c r="K135" s="786"/>
      <c r="L135" s="786"/>
      <c r="M135" s="123"/>
      <c r="N135" s="123"/>
    </row>
    <row r="136" spans="1:26" x14ac:dyDescent="0.25">
      <c r="B136" s="786"/>
      <c r="C136" s="786"/>
      <c r="D136" s="786"/>
      <c r="E136" s="786"/>
      <c r="F136" s="786"/>
      <c r="G136" s="786"/>
      <c r="H136" s="786"/>
      <c r="I136" s="786"/>
      <c r="J136" s="786"/>
      <c r="K136" s="786"/>
      <c r="L136" s="786"/>
      <c r="M136" s="123"/>
      <c r="N136" s="123"/>
    </row>
    <row r="137" spans="1:26" ht="15" customHeight="1" x14ac:dyDescent="0.25">
      <c r="B137" s="786" t="s">
        <v>577</v>
      </c>
      <c r="C137" s="786"/>
      <c r="D137" s="786"/>
      <c r="E137" s="786"/>
      <c r="F137" s="786"/>
      <c r="G137" s="786"/>
      <c r="H137" s="786"/>
      <c r="I137" s="786"/>
      <c r="J137" s="786"/>
      <c r="K137" s="786"/>
      <c r="L137" s="786"/>
      <c r="M137" s="123"/>
      <c r="N137" s="123"/>
    </row>
    <row r="138" spans="1:26" x14ac:dyDescent="0.25">
      <c r="B138" s="786"/>
      <c r="C138" s="786"/>
      <c r="D138" s="786"/>
      <c r="E138" s="786"/>
      <c r="F138" s="786"/>
      <c r="G138" s="786"/>
      <c r="H138" s="786"/>
      <c r="I138" s="786"/>
      <c r="J138" s="786"/>
      <c r="K138" s="786"/>
      <c r="L138" s="786"/>
      <c r="M138" s="123"/>
      <c r="N138" s="123"/>
    </row>
    <row r="139" spans="1:26" x14ac:dyDescent="0.25">
      <c r="B139" s="18" t="s">
        <v>207</v>
      </c>
    </row>
    <row r="140" spans="1:26" x14ac:dyDescent="0.25">
      <c r="B140" s="18" t="s">
        <v>423</v>
      </c>
    </row>
    <row r="141" spans="1:26" ht="15.75" thickBot="1" x14ac:dyDescent="0.3">
      <c r="A141" s="18"/>
    </row>
    <row r="142" spans="1:26" ht="15.75" thickBot="1" x14ac:dyDescent="0.3">
      <c r="A142" s="3" t="s">
        <v>567</v>
      </c>
      <c r="K142" s="872" t="s">
        <v>199</v>
      </c>
      <c r="L142" s="873"/>
      <c r="M142" s="874"/>
    </row>
    <row r="143" spans="1:26" ht="60" x14ac:dyDescent="0.25">
      <c r="A143" s="3"/>
      <c r="K143" s="208" t="s">
        <v>197</v>
      </c>
      <c r="L143" s="187" t="s">
        <v>196</v>
      </c>
      <c r="M143" s="200" t="s">
        <v>195</v>
      </c>
    </row>
    <row r="144" spans="1:26" s="6" customFormat="1" ht="210" x14ac:dyDescent="0.25">
      <c r="A144" s="875" t="s">
        <v>59</v>
      </c>
      <c r="B144" s="104" t="s">
        <v>182</v>
      </c>
      <c r="C144" s="104" t="s">
        <v>166</v>
      </c>
      <c r="D144" s="129" t="s">
        <v>167</v>
      </c>
      <c r="E144" s="128" t="s">
        <v>180</v>
      </c>
      <c r="F144" s="128" t="s">
        <v>181</v>
      </c>
      <c r="G144" s="128" t="s">
        <v>169</v>
      </c>
      <c r="H144" s="128" t="s">
        <v>170</v>
      </c>
      <c r="I144" s="101" t="s">
        <v>171</v>
      </c>
      <c r="J144" s="135" t="s">
        <v>172</v>
      </c>
      <c r="K144" s="207" t="s">
        <v>912</v>
      </c>
      <c r="L144" s="177" t="s">
        <v>203</v>
      </c>
      <c r="M144" s="201" t="s">
        <v>205</v>
      </c>
      <c r="N144" s="1"/>
      <c r="O144" s="1"/>
      <c r="P144" s="1"/>
      <c r="Q144" s="1"/>
      <c r="R144" s="1"/>
      <c r="S144" s="1"/>
      <c r="T144" s="1"/>
      <c r="U144" s="1"/>
      <c r="V144" s="1"/>
      <c r="W144" s="1"/>
      <c r="X144" s="1"/>
      <c r="Y144" s="1"/>
      <c r="Z144" s="1"/>
    </row>
    <row r="145" spans="1:29" ht="15" customHeight="1" x14ac:dyDescent="0.25">
      <c r="A145" s="876"/>
      <c r="B145" s="107" t="s">
        <v>155</v>
      </c>
      <c r="C145" s="862" t="s">
        <v>257</v>
      </c>
      <c r="D145" s="863"/>
      <c r="E145" s="863"/>
      <c r="F145" s="863"/>
      <c r="G145" s="863"/>
      <c r="H145" s="863"/>
      <c r="I145" s="863"/>
      <c r="J145" s="863"/>
      <c r="K145" s="863"/>
      <c r="L145" s="863"/>
      <c r="M145" s="864"/>
    </row>
    <row r="146" spans="1:29" x14ac:dyDescent="0.25">
      <c r="A146" s="67" t="s">
        <v>0</v>
      </c>
      <c r="B146" s="119">
        <v>187</v>
      </c>
      <c r="C146" s="393">
        <f>$B146*'Exceptions &amp; Events'!$H$11</f>
        <v>1.1594</v>
      </c>
      <c r="D146" s="394">
        <f>$B146*'Exceptions &amp; Events'!$H$21</f>
        <v>5.6099999999999994</v>
      </c>
      <c r="E146" s="394">
        <f>$B146*'Exceptions &amp; Events'!$H$31</f>
        <v>9.35</v>
      </c>
      <c r="F146" s="394">
        <f>$B146*'Exceptions &amp; Events'!$H$40</f>
        <v>9.35</v>
      </c>
      <c r="G146" s="394">
        <f>$B146*'Exceptions &amp; Events'!$H$49</f>
        <v>0.93500000000000005</v>
      </c>
      <c r="H146" s="394">
        <f>$B146*'Exceptions &amp; Events'!$H$59</f>
        <v>0.3240901213171577</v>
      </c>
      <c r="I146" s="395">
        <f>$B146-SUM(C146:H146)</f>
        <v>160.27150987868285</v>
      </c>
      <c r="J146" s="396">
        <f>($B146-I146)/$B146</f>
        <v>0.14293310225303288</v>
      </c>
      <c r="K146" s="397">
        <f>B146-SUM(C146:D146,G146:H146)</f>
        <v>178.97150987868284</v>
      </c>
      <c r="L146" s="398">
        <f>I146</f>
        <v>160.27150987868285</v>
      </c>
      <c r="M146" s="417">
        <f>K146</f>
        <v>178.97150987868284</v>
      </c>
    </row>
    <row r="147" spans="1:29" ht="15.75" thickBot="1" x14ac:dyDescent="0.3">
      <c r="A147" s="121" t="s">
        <v>1</v>
      </c>
      <c r="B147" s="119">
        <v>359</v>
      </c>
      <c r="C147" s="401">
        <f>$B147*'Exceptions &amp; Events'!$H$11</f>
        <v>2.2258</v>
      </c>
      <c r="D147" s="402">
        <f>$B147*'Exceptions &amp; Events'!$H$21</f>
        <v>10.77</v>
      </c>
      <c r="E147" s="402">
        <f>$B147*'Exceptions &amp; Events'!$H$31</f>
        <v>17.95</v>
      </c>
      <c r="F147" s="402">
        <f>$B147*'Exceptions &amp; Events'!$H$40</f>
        <v>17.95</v>
      </c>
      <c r="G147" s="402">
        <f>$B147*'Exceptions &amp; Events'!$H$49</f>
        <v>1.7949999999999999</v>
      </c>
      <c r="H147" s="402">
        <f>$B147*'Exceptions &amp; Events'!$H$59</f>
        <v>0.62218370883882146</v>
      </c>
      <c r="I147" s="403">
        <f>$B147-SUM(C147:H147)</f>
        <v>307.68701629116117</v>
      </c>
      <c r="J147" s="404">
        <f>($B147-I147)/$B147</f>
        <v>0.14293310225303296</v>
      </c>
      <c r="K147" s="405">
        <f>B147-SUM(C147:D147,G147:H147)</f>
        <v>343.58701629116121</v>
      </c>
      <c r="L147" s="406">
        <f>I147</f>
        <v>307.68701629116117</v>
      </c>
      <c r="M147" s="426">
        <f>K147</f>
        <v>343.58701629116121</v>
      </c>
    </row>
    <row r="148" spans="1:29" s="21" customFormat="1" ht="16.5" thickTop="1" thickBot="1" x14ac:dyDescent="0.3">
      <c r="A148" s="117" t="s">
        <v>75</v>
      </c>
      <c r="B148" s="427">
        <f t="shared" ref="B148:C148" si="54">SUM(B146:B147)</f>
        <v>546</v>
      </c>
      <c r="C148" s="409">
        <f t="shared" si="54"/>
        <v>3.3852000000000002</v>
      </c>
      <c r="D148" s="410">
        <f t="shared" ref="D148:I148" si="55">SUM(D146:D147)</f>
        <v>16.38</v>
      </c>
      <c r="E148" s="410">
        <f t="shared" si="55"/>
        <v>27.299999999999997</v>
      </c>
      <c r="F148" s="410">
        <f t="shared" si="55"/>
        <v>27.299999999999997</v>
      </c>
      <c r="G148" s="410">
        <f t="shared" si="55"/>
        <v>2.73</v>
      </c>
      <c r="H148" s="410">
        <f t="shared" si="55"/>
        <v>0.94627383015597921</v>
      </c>
      <c r="I148" s="443">
        <f t="shared" si="55"/>
        <v>467.95852616984405</v>
      </c>
      <c r="J148" s="411">
        <f>($B148-I148)/$B148</f>
        <v>0.14293310225303288</v>
      </c>
      <c r="K148" s="444">
        <f t="shared" ref="K148:M148" si="56">SUM(K146:K147)</f>
        <v>522.55852616984407</v>
      </c>
      <c r="L148" s="445">
        <f t="shared" si="56"/>
        <v>467.95852616984405</v>
      </c>
      <c r="M148" s="446">
        <f t="shared" si="56"/>
        <v>522.55852616984407</v>
      </c>
    </row>
    <row r="149" spans="1:29" s="14" customFormat="1" ht="15.75" thickBot="1" x14ac:dyDescent="0.3">
      <c r="A149" s="143"/>
      <c r="C149" s="144"/>
      <c r="D149" s="144"/>
      <c r="E149" s="144"/>
      <c r="F149" s="144"/>
      <c r="G149" s="144"/>
      <c r="H149" s="144"/>
      <c r="I149" s="144"/>
      <c r="J149" s="145"/>
      <c r="K149" s="206"/>
      <c r="L149" s="206"/>
      <c r="M149" s="206"/>
    </row>
    <row r="150" spans="1:29" ht="15.75" thickBot="1" x14ac:dyDescent="0.3">
      <c r="A150" s="3" t="s">
        <v>567</v>
      </c>
      <c r="K150" s="872" t="s">
        <v>199</v>
      </c>
      <c r="L150" s="873"/>
      <c r="M150" s="874"/>
    </row>
    <row r="151" spans="1:29" ht="60" x14ac:dyDescent="0.25">
      <c r="A151" s="3"/>
      <c r="K151" s="208" t="s">
        <v>197</v>
      </c>
      <c r="L151" s="187" t="s">
        <v>196</v>
      </c>
      <c r="M151" s="200" t="s">
        <v>195</v>
      </c>
    </row>
    <row r="152" spans="1:29" s="6" customFormat="1" ht="210" x14ac:dyDescent="0.25">
      <c r="A152" s="875" t="s">
        <v>59</v>
      </c>
      <c r="B152" s="185" t="s">
        <v>182</v>
      </c>
      <c r="C152" s="185" t="s">
        <v>166</v>
      </c>
      <c r="D152" s="179" t="s">
        <v>167</v>
      </c>
      <c r="E152" s="177" t="s">
        <v>180</v>
      </c>
      <c r="F152" s="177" t="s">
        <v>181</v>
      </c>
      <c r="G152" s="177" t="s">
        <v>169</v>
      </c>
      <c r="H152" s="177" t="s">
        <v>170</v>
      </c>
      <c r="I152" s="101" t="s">
        <v>171</v>
      </c>
      <c r="J152" s="135" t="s">
        <v>172</v>
      </c>
      <c r="K152" s="207" t="s">
        <v>912</v>
      </c>
      <c r="L152" s="177" t="s">
        <v>203</v>
      </c>
      <c r="M152" s="201" t="s">
        <v>205</v>
      </c>
      <c r="N152" s="1"/>
      <c r="O152" s="1"/>
      <c r="P152" s="1"/>
      <c r="Q152" s="1"/>
      <c r="R152" s="1"/>
      <c r="S152" s="1"/>
      <c r="T152" s="1"/>
      <c r="U152" s="1"/>
      <c r="V152" s="1"/>
      <c r="W152" s="1"/>
      <c r="X152" s="1"/>
      <c r="Y152" s="1"/>
      <c r="Z152" s="1"/>
    </row>
    <row r="153" spans="1:29" ht="15" customHeight="1" x14ac:dyDescent="0.25">
      <c r="A153" s="876"/>
      <c r="B153" s="180" t="s">
        <v>155</v>
      </c>
      <c r="C153" s="862" t="s">
        <v>258</v>
      </c>
      <c r="D153" s="863"/>
      <c r="E153" s="863"/>
      <c r="F153" s="863"/>
      <c r="G153" s="863"/>
      <c r="H153" s="863"/>
      <c r="I153" s="863"/>
      <c r="J153" s="863"/>
      <c r="K153" s="863"/>
      <c r="L153" s="863"/>
      <c r="M153" s="864"/>
    </row>
    <row r="154" spans="1:29" x14ac:dyDescent="0.25">
      <c r="A154" s="67" t="s">
        <v>0</v>
      </c>
      <c r="B154" s="441">
        <f>B146</f>
        <v>187</v>
      </c>
      <c r="C154" s="393">
        <f>$B154*'Exceptions &amp; Events'!$H$11</f>
        <v>1.1594</v>
      </c>
      <c r="D154" s="394">
        <f>$B154*'Exceptions &amp; Events'!$H$21</f>
        <v>5.6099999999999994</v>
      </c>
      <c r="E154" s="394">
        <f>$B154*'Exceptions &amp; Events'!$J$31</f>
        <v>5.6099999999999994</v>
      </c>
      <c r="F154" s="394">
        <f>$B154*'Exceptions &amp; Events'!$J$40</f>
        <v>5.6099999999999994</v>
      </c>
      <c r="G154" s="394">
        <f>$B154*'Exceptions &amp; Events'!$H$49</f>
        <v>0.93500000000000005</v>
      </c>
      <c r="H154" s="394">
        <f>$B154*'Exceptions &amp; Events'!$H$59</f>
        <v>0.3240901213171577</v>
      </c>
      <c r="I154" s="395">
        <f>$B154-SUM(C154:H154)</f>
        <v>167.75150987868284</v>
      </c>
      <c r="J154" s="396">
        <f>($B154-I154)/$B154</f>
        <v>0.10293310225303294</v>
      </c>
      <c r="K154" s="397">
        <f>B154-SUM(C154:D154,G154:H154)</f>
        <v>178.97150987868284</v>
      </c>
      <c r="L154" s="398">
        <f>I154</f>
        <v>167.75150987868284</v>
      </c>
      <c r="M154" s="417">
        <f>K154</f>
        <v>178.97150987868284</v>
      </c>
    </row>
    <row r="155" spans="1:29" ht="15.75" thickBot="1" x14ac:dyDescent="0.3">
      <c r="A155" s="121" t="s">
        <v>1</v>
      </c>
      <c r="B155" s="441">
        <f>B147</f>
        <v>359</v>
      </c>
      <c r="C155" s="401">
        <f>$B155*'Exceptions &amp; Events'!$H$11</f>
        <v>2.2258</v>
      </c>
      <c r="D155" s="402">
        <f>$B155*'Exceptions &amp; Events'!$H$21</f>
        <v>10.77</v>
      </c>
      <c r="E155" s="402">
        <f>$B155*'Exceptions &amp; Events'!$J$31</f>
        <v>10.77</v>
      </c>
      <c r="F155" s="402">
        <f>$B155*'Exceptions &amp; Events'!$J$40</f>
        <v>10.77</v>
      </c>
      <c r="G155" s="402">
        <f>$B155*'Exceptions &amp; Events'!$H$49</f>
        <v>1.7949999999999999</v>
      </c>
      <c r="H155" s="402">
        <f>$B155*'Exceptions &amp; Events'!$H$59</f>
        <v>0.62218370883882146</v>
      </c>
      <c r="I155" s="403">
        <f>$B155-SUM(C155:H155)</f>
        <v>322.04701629116119</v>
      </c>
      <c r="J155" s="404">
        <f>($B155-I155)/$B155</f>
        <v>0.10293310225303291</v>
      </c>
      <c r="K155" s="405">
        <f>B155-SUM(C155:D155,G155:H155)</f>
        <v>343.58701629116121</v>
      </c>
      <c r="L155" s="406">
        <f>I155</f>
        <v>322.04701629116119</v>
      </c>
      <c r="M155" s="426">
        <f>K155</f>
        <v>343.58701629116121</v>
      </c>
    </row>
    <row r="156" spans="1:29" s="21" customFormat="1" ht="16.5" thickTop="1" thickBot="1" x14ac:dyDescent="0.3">
      <c r="A156" s="117" t="s">
        <v>75</v>
      </c>
      <c r="B156" s="427">
        <f t="shared" ref="B156:C156" si="57">SUM(B154:B155)</f>
        <v>546</v>
      </c>
      <c r="C156" s="409">
        <f t="shared" si="57"/>
        <v>3.3852000000000002</v>
      </c>
      <c r="D156" s="410">
        <f t="shared" ref="D156:I156" si="58">SUM(D154:D155)</f>
        <v>16.38</v>
      </c>
      <c r="E156" s="410">
        <f t="shared" si="58"/>
        <v>16.38</v>
      </c>
      <c r="F156" s="410">
        <f t="shared" si="58"/>
        <v>16.38</v>
      </c>
      <c r="G156" s="410">
        <f t="shared" si="58"/>
        <v>2.73</v>
      </c>
      <c r="H156" s="410">
        <f t="shared" si="58"/>
        <v>0.94627383015597921</v>
      </c>
      <c r="I156" s="443">
        <f t="shared" si="58"/>
        <v>489.79852616984402</v>
      </c>
      <c r="J156" s="411">
        <f>($B156-I156)/$B156</f>
        <v>0.10293310225303293</v>
      </c>
      <c r="K156" s="444">
        <f t="shared" ref="K156" si="59">SUM(K154:K155)</f>
        <v>522.55852616984407</v>
      </c>
      <c r="L156" s="445">
        <f t="shared" ref="L156" si="60">SUM(L154:L155)</f>
        <v>489.79852616984402</v>
      </c>
      <c r="M156" s="446">
        <f t="shared" ref="M156" si="61">SUM(M154:M155)</f>
        <v>522.55852616984407</v>
      </c>
    </row>
    <row r="157" spans="1:29" x14ac:dyDescent="0.25">
      <c r="B157" s="786" t="s">
        <v>179</v>
      </c>
      <c r="C157" s="786"/>
      <c r="D157" s="786"/>
      <c r="E157" s="786"/>
      <c r="F157" s="786"/>
      <c r="G157" s="786"/>
      <c r="H157" s="786"/>
      <c r="I157" s="786"/>
      <c r="J157" s="786"/>
      <c r="K157" s="786"/>
      <c r="L157" s="786"/>
    </row>
    <row r="158" spans="1:29" x14ac:dyDescent="0.25">
      <c r="B158" s="786"/>
      <c r="C158" s="786"/>
      <c r="D158" s="786"/>
      <c r="E158" s="786"/>
      <c r="F158" s="786"/>
      <c r="G158" s="786"/>
      <c r="H158" s="786"/>
      <c r="I158" s="786"/>
      <c r="J158" s="786"/>
      <c r="K158" s="786"/>
      <c r="L158" s="786"/>
    </row>
    <row r="159" spans="1:29" x14ac:dyDescent="0.25">
      <c r="B159" s="18"/>
    </row>
    <row r="160" spans="1:29" s="21" customFormat="1" x14ac:dyDescent="0.25">
      <c r="B160" s="160" t="s">
        <v>178</v>
      </c>
      <c r="C160" s="14"/>
      <c r="D160" s="14"/>
      <c r="E160" s="14"/>
      <c r="F160" s="144"/>
      <c r="G160" s="144"/>
      <c r="H160" s="144"/>
      <c r="I160" s="144"/>
      <c r="J160" s="144"/>
      <c r="K160" s="144"/>
      <c r="L160" s="144"/>
      <c r="M160" s="145"/>
      <c r="N160" s="144"/>
      <c r="O160" s="144"/>
      <c r="P160" s="144"/>
      <c r="Q160" s="144"/>
      <c r="R160" s="144"/>
      <c r="S160" s="144"/>
      <c r="T160" s="144"/>
      <c r="U160" s="144"/>
      <c r="V160" s="144"/>
      <c r="W160" s="144"/>
      <c r="X160" s="144"/>
      <c r="Y160" s="144"/>
      <c r="Z160" s="144"/>
      <c r="AA160" s="144"/>
      <c r="AB160" s="145"/>
      <c r="AC160" s="144"/>
    </row>
    <row r="161" spans="1:13" s="8" customFormat="1" x14ac:dyDescent="0.25">
      <c r="B161" s="18" t="s">
        <v>421</v>
      </c>
    </row>
    <row r="162" spans="1:13" x14ac:dyDescent="0.25">
      <c r="B162" s="18"/>
    </row>
    <row r="163" spans="1:13" x14ac:dyDescent="0.25">
      <c r="B163" s="116" t="s">
        <v>156</v>
      </c>
    </row>
    <row r="164" spans="1:13" x14ac:dyDescent="0.25">
      <c r="B164" s="18" t="s">
        <v>412</v>
      </c>
    </row>
    <row r="165" spans="1:13" x14ac:dyDescent="0.25">
      <c r="B165" s="18" t="s">
        <v>413</v>
      </c>
    </row>
    <row r="166" spans="1:13" x14ac:dyDescent="0.25">
      <c r="B166" s="18" t="s">
        <v>414</v>
      </c>
    </row>
    <row r="167" spans="1:13" x14ac:dyDescent="0.25">
      <c r="B167" s="18" t="s">
        <v>415</v>
      </c>
    </row>
    <row r="168" spans="1:13" x14ac:dyDescent="0.25">
      <c r="B168" s="18" t="s">
        <v>430</v>
      </c>
    </row>
    <row r="169" spans="1:13" x14ac:dyDescent="0.25">
      <c r="B169" s="18" t="s">
        <v>431</v>
      </c>
    </row>
    <row r="170" spans="1:13" x14ac:dyDescent="0.25">
      <c r="B170" s="18" t="s">
        <v>416</v>
      </c>
    </row>
    <row r="171" spans="1:13" x14ac:dyDescent="0.25">
      <c r="B171" s="18" t="s">
        <v>422</v>
      </c>
    </row>
    <row r="172" spans="1:13" x14ac:dyDescent="0.25">
      <c r="B172" s="18" t="s">
        <v>426</v>
      </c>
    </row>
    <row r="173" spans="1:13" x14ac:dyDescent="0.25">
      <c r="B173" s="18" t="s">
        <v>208</v>
      </c>
    </row>
    <row r="174" spans="1:13" x14ac:dyDescent="0.25">
      <c r="B174" s="18" t="s">
        <v>209</v>
      </c>
    </row>
    <row r="175" spans="1:13" ht="15.75" thickBot="1" x14ac:dyDescent="0.3">
      <c r="A175" s="3"/>
    </row>
    <row r="176" spans="1:13" ht="15.75" thickBot="1" x14ac:dyDescent="0.3">
      <c r="A176" s="3" t="s">
        <v>568</v>
      </c>
      <c r="K176" s="872" t="s">
        <v>199</v>
      </c>
      <c r="L176" s="873"/>
      <c r="M176" s="874"/>
    </row>
    <row r="177" spans="1:28" ht="75" customHeight="1" x14ac:dyDescent="0.25">
      <c r="K177" s="208" t="s">
        <v>197</v>
      </c>
      <c r="L177" s="187" t="s">
        <v>196</v>
      </c>
      <c r="M177" s="200" t="s">
        <v>195</v>
      </c>
    </row>
    <row r="178" spans="1:28" s="6" customFormat="1" ht="210" x14ac:dyDescent="0.25">
      <c r="A178" s="868" t="s">
        <v>445</v>
      </c>
      <c r="B178" s="104" t="s">
        <v>182</v>
      </c>
      <c r="C178" s="104" t="s">
        <v>166</v>
      </c>
      <c r="D178" s="129" t="s">
        <v>167</v>
      </c>
      <c r="E178" s="128" t="s">
        <v>180</v>
      </c>
      <c r="F178" s="128" t="s">
        <v>181</v>
      </c>
      <c r="G178" s="128" t="s">
        <v>169</v>
      </c>
      <c r="H178" s="128" t="s">
        <v>170</v>
      </c>
      <c r="I178" s="101" t="s">
        <v>171</v>
      </c>
      <c r="J178" s="135" t="s">
        <v>172</v>
      </c>
      <c r="K178" s="207" t="s">
        <v>913</v>
      </c>
      <c r="L178" s="177" t="s">
        <v>203</v>
      </c>
      <c r="M178" s="201" t="s">
        <v>205</v>
      </c>
      <c r="N178" s="1"/>
      <c r="O178" s="1"/>
      <c r="P178" s="1"/>
      <c r="Q178" s="1"/>
      <c r="R178" s="1"/>
      <c r="S178" s="1"/>
      <c r="T178" s="1"/>
      <c r="U178" s="1"/>
      <c r="V178" s="1"/>
      <c r="W178" s="1"/>
      <c r="X178" s="1"/>
      <c r="Y178" s="1"/>
      <c r="Z178" s="1"/>
      <c r="AA178" s="1"/>
      <c r="AB178" s="1"/>
    </row>
    <row r="179" spans="1:28" s="6" customFormat="1" ht="15" customHeight="1" x14ac:dyDescent="0.25">
      <c r="A179" s="869"/>
      <c r="B179" s="107" t="s">
        <v>155</v>
      </c>
      <c r="C179" s="870" t="s">
        <v>173</v>
      </c>
      <c r="D179" s="859"/>
      <c r="E179" s="859"/>
      <c r="F179" s="859"/>
      <c r="G179" s="859"/>
      <c r="H179" s="859"/>
      <c r="I179" s="859"/>
      <c r="J179" s="859"/>
      <c r="K179" s="859"/>
      <c r="L179" s="859"/>
      <c r="M179" s="871"/>
      <c r="N179" s="1"/>
      <c r="O179" s="1"/>
      <c r="P179" s="1"/>
      <c r="Q179" s="1"/>
      <c r="R179" s="1"/>
      <c r="S179" s="1"/>
      <c r="T179" s="1"/>
      <c r="U179" s="1"/>
      <c r="V179" s="1"/>
      <c r="W179" s="1"/>
      <c r="X179" s="1"/>
      <c r="Y179" s="1"/>
      <c r="Z179" s="1"/>
      <c r="AA179" s="1"/>
      <c r="AB179" s="1"/>
    </row>
    <row r="180" spans="1:28" x14ac:dyDescent="0.25">
      <c r="A180" s="67" t="s">
        <v>569</v>
      </c>
      <c r="B180" s="119">
        <v>34</v>
      </c>
      <c r="C180" s="393">
        <f>$B180*'Exceptions &amp; Events'!$J$12</f>
        <v>0.21079999999999999</v>
      </c>
      <c r="D180" s="394">
        <f>$B180*'Exceptions &amp; Events'!$J$22</f>
        <v>1.02</v>
      </c>
      <c r="E180" s="394">
        <f>$B180*'Exceptions &amp; Events'!$J$32</f>
        <v>1.7000000000000002</v>
      </c>
      <c r="F180" s="394">
        <f>$B180*'Exceptions &amp; Events'!$J$41</f>
        <v>1.7000000000000002</v>
      </c>
      <c r="G180" s="394">
        <f>$B180*'Exceptions &amp; Events'!$J$50</f>
        <v>0.17</v>
      </c>
      <c r="H180" s="394">
        <f>$B180*'Exceptions &amp; Events'!$J$60</f>
        <v>0</v>
      </c>
      <c r="I180" s="395">
        <f>$B180-SUM(C180:H180)</f>
        <v>29.199199999999998</v>
      </c>
      <c r="J180" s="396">
        <f>($B180-I180)/$B180</f>
        <v>0.14120000000000008</v>
      </c>
      <c r="K180" s="397">
        <f>B180-SUM(C180:D180,G180:H180)</f>
        <v>32.599200000000003</v>
      </c>
      <c r="L180" s="398">
        <f>I180</f>
        <v>29.199199999999998</v>
      </c>
      <c r="M180" s="417">
        <f>K180</f>
        <v>32.599200000000003</v>
      </c>
    </row>
    <row r="181" spans="1:28" x14ac:dyDescent="0.25">
      <c r="A181" s="122" t="s">
        <v>531</v>
      </c>
      <c r="B181" s="119">
        <v>391</v>
      </c>
      <c r="C181" s="393">
        <f>$B181*'Exceptions &amp; Events'!$J$12</f>
        <v>2.4241999999999999</v>
      </c>
      <c r="D181" s="394">
        <f>$B181*'Exceptions &amp; Events'!$J$22</f>
        <v>11.73</v>
      </c>
      <c r="E181" s="394">
        <f>$B181*'Exceptions &amp; Events'!$J$32</f>
        <v>19.55</v>
      </c>
      <c r="F181" s="394">
        <f>$B181*'Exceptions &amp; Events'!$J$41</f>
        <v>19.55</v>
      </c>
      <c r="G181" s="394">
        <f>$B181*'Exceptions &amp; Events'!$J$50</f>
        <v>1.9550000000000001</v>
      </c>
      <c r="H181" s="395">
        <f>$B181*'Exceptions &amp; Events'!$J$60</f>
        <v>0</v>
      </c>
      <c r="I181" s="395">
        <f>$B181-SUM(C181:H181)</f>
        <v>335.79079999999999</v>
      </c>
      <c r="J181" s="396">
        <f>($B181-I181)/$B181</f>
        <v>0.14120000000000002</v>
      </c>
      <c r="K181" s="397">
        <f t="shared" ref="K181:K182" si="62">B181-SUM(C181:D181,G181:H181)</f>
        <v>374.89080000000001</v>
      </c>
      <c r="L181" s="398">
        <f t="shared" ref="L181:L182" si="63">I181</f>
        <v>335.79079999999999</v>
      </c>
      <c r="M181" s="417">
        <f t="shared" ref="M181:M182" si="64">K181</f>
        <v>374.89080000000001</v>
      </c>
    </row>
    <row r="182" spans="1:28" x14ac:dyDescent="0.25">
      <c r="A182" s="122" t="s">
        <v>558</v>
      </c>
      <c r="B182" s="119">
        <v>241</v>
      </c>
      <c r="C182" s="393">
        <f>$B182*'Exceptions &amp; Events'!$J$12</f>
        <v>1.4942</v>
      </c>
      <c r="D182" s="394">
        <f>$B182*'Exceptions &amp; Events'!$J$22</f>
        <v>7.2299999999999995</v>
      </c>
      <c r="E182" s="394">
        <f>$B182*'Exceptions &amp; Events'!$J$32</f>
        <v>12.05</v>
      </c>
      <c r="F182" s="394">
        <f>$B182*'Exceptions &amp; Events'!$J$41</f>
        <v>12.05</v>
      </c>
      <c r="G182" s="394">
        <f>$B182*'Exceptions &amp; Events'!$J$50</f>
        <v>1.2050000000000001</v>
      </c>
      <c r="H182" s="395">
        <f>$B182*'Exceptions &amp; Events'!$J$60</f>
        <v>0</v>
      </c>
      <c r="I182" s="395">
        <f>$B182-SUM(C182:H182)</f>
        <v>206.9708</v>
      </c>
      <c r="J182" s="396">
        <f>($B182-I182)/$B182</f>
        <v>0.14120000000000002</v>
      </c>
      <c r="K182" s="397">
        <f t="shared" si="62"/>
        <v>231.07079999999999</v>
      </c>
      <c r="L182" s="398">
        <f t="shared" si="63"/>
        <v>206.9708</v>
      </c>
      <c r="M182" s="417">
        <f t="shared" si="64"/>
        <v>231.07079999999999</v>
      </c>
    </row>
    <row r="183" spans="1:28" ht="15.75" thickBot="1" x14ac:dyDescent="0.3">
      <c r="A183" s="121" t="s">
        <v>559</v>
      </c>
      <c r="B183" s="119">
        <v>108</v>
      </c>
      <c r="C183" s="393">
        <f>$B183*'Exceptions &amp; Events'!$J$12</f>
        <v>0.66959999999999997</v>
      </c>
      <c r="D183" s="394">
        <f>$B183*'Exceptions &amp; Events'!$J$22</f>
        <v>3.2399999999999998</v>
      </c>
      <c r="E183" s="394">
        <f>$B183*'Exceptions &amp; Events'!$J$32</f>
        <v>5.4</v>
      </c>
      <c r="F183" s="394">
        <f>$B183*'Exceptions &amp; Events'!$J$41</f>
        <v>5.4</v>
      </c>
      <c r="G183" s="394">
        <f>$B183*'Exceptions &amp; Events'!$J$50</f>
        <v>0.54</v>
      </c>
      <c r="H183" s="395">
        <f>$B183*'Exceptions &amp; Events'!$J$60</f>
        <v>0</v>
      </c>
      <c r="I183" s="395">
        <f>$B183-SUM(C183:H183)</f>
        <v>92.750399999999999</v>
      </c>
      <c r="J183" s="396">
        <f>($B183-I183)/$B183</f>
        <v>0.14120000000000002</v>
      </c>
      <c r="K183" s="405">
        <f>B183-SUM(C183:D183,G183:H183)</f>
        <v>103.5504</v>
      </c>
      <c r="L183" s="406">
        <f>I183</f>
        <v>92.750399999999999</v>
      </c>
      <c r="M183" s="426">
        <f>K183</f>
        <v>103.5504</v>
      </c>
    </row>
    <row r="184" spans="1:28" s="21" customFormat="1" ht="16.5" thickTop="1" thickBot="1" x14ac:dyDescent="0.3">
      <c r="A184" s="117" t="s">
        <v>75</v>
      </c>
      <c r="B184" s="427">
        <f t="shared" ref="B184" si="65">SUM(B180:B183)</f>
        <v>774</v>
      </c>
      <c r="C184" s="409">
        <f>SUM(C180:C183)</f>
        <v>4.7988</v>
      </c>
      <c r="D184" s="410">
        <f t="shared" ref="D184:I184" si="66">SUM(D180:D183)</f>
        <v>23.22</v>
      </c>
      <c r="E184" s="410">
        <f t="shared" si="66"/>
        <v>38.699999999999996</v>
      </c>
      <c r="F184" s="410">
        <f t="shared" si="66"/>
        <v>38.699999999999996</v>
      </c>
      <c r="G184" s="410">
        <f t="shared" si="66"/>
        <v>3.87</v>
      </c>
      <c r="H184" s="410">
        <f t="shared" si="66"/>
        <v>0</v>
      </c>
      <c r="I184" s="410">
        <f t="shared" si="66"/>
        <v>664.71120000000008</v>
      </c>
      <c r="J184" s="411">
        <f>($B184-I184)/$B184</f>
        <v>0.14119999999999991</v>
      </c>
      <c r="K184" s="444">
        <f>SUM(K180:K183)</f>
        <v>742.11119999999994</v>
      </c>
      <c r="L184" s="445">
        <f t="shared" ref="L184:M184" si="67">SUM(L180:L183)</f>
        <v>664.71120000000008</v>
      </c>
      <c r="M184" s="446">
        <f t="shared" si="67"/>
        <v>742.11119999999994</v>
      </c>
      <c r="N184" s="341"/>
    </row>
    <row r="185" spans="1:28" s="21" customFormat="1" ht="15.75" thickBot="1" x14ac:dyDescent="0.3">
      <c r="A185" s="143"/>
      <c r="B185" s="14"/>
      <c r="C185" s="144"/>
      <c r="D185" s="144"/>
      <c r="E185" s="144"/>
      <c r="F185" s="144"/>
      <c r="G185" s="144"/>
      <c r="H185" s="144"/>
      <c r="I185" s="144"/>
      <c r="J185" s="145"/>
      <c r="K185" s="370"/>
      <c r="L185" s="370"/>
      <c r="M185" s="144"/>
    </row>
    <row r="186" spans="1:28" ht="15.75" thickBot="1" x14ac:dyDescent="0.3">
      <c r="A186" s="3" t="s">
        <v>568</v>
      </c>
      <c r="K186" s="872" t="s">
        <v>199</v>
      </c>
      <c r="L186" s="873"/>
      <c r="M186" s="874"/>
    </row>
    <row r="187" spans="1:28" ht="75" customHeight="1" x14ac:dyDescent="0.25">
      <c r="K187" s="208" t="s">
        <v>197</v>
      </c>
      <c r="L187" s="187" t="s">
        <v>196</v>
      </c>
      <c r="M187" s="200" t="s">
        <v>195</v>
      </c>
    </row>
    <row r="188" spans="1:28" s="6" customFormat="1" ht="210" x14ac:dyDescent="0.25">
      <c r="A188" s="868" t="s">
        <v>445</v>
      </c>
      <c r="B188" s="185" t="s">
        <v>182</v>
      </c>
      <c r="C188" s="185" t="s">
        <v>166</v>
      </c>
      <c r="D188" s="179" t="s">
        <v>167</v>
      </c>
      <c r="E188" s="177" t="s">
        <v>180</v>
      </c>
      <c r="F188" s="177" t="s">
        <v>181</v>
      </c>
      <c r="G188" s="177" t="s">
        <v>169</v>
      </c>
      <c r="H188" s="177" t="s">
        <v>170</v>
      </c>
      <c r="I188" s="101" t="s">
        <v>171</v>
      </c>
      <c r="J188" s="135" t="s">
        <v>172</v>
      </c>
      <c r="K188" s="207" t="s">
        <v>913</v>
      </c>
      <c r="L188" s="177" t="s">
        <v>203</v>
      </c>
      <c r="M188" s="201" t="s">
        <v>205</v>
      </c>
      <c r="N188" s="1"/>
      <c r="O188" s="1"/>
      <c r="P188" s="1"/>
      <c r="Q188" s="1"/>
      <c r="R188" s="1"/>
      <c r="S188" s="1"/>
      <c r="T188" s="1"/>
      <c r="U188" s="1"/>
      <c r="V188" s="1"/>
      <c r="W188" s="1"/>
      <c r="X188" s="1"/>
      <c r="Y188" s="1"/>
      <c r="Z188" s="1"/>
      <c r="AA188" s="1"/>
      <c r="AB188" s="1"/>
    </row>
    <row r="189" spans="1:28" s="6" customFormat="1" ht="15" customHeight="1" x14ac:dyDescent="0.25">
      <c r="A189" s="869"/>
      <c r="B189" s="180" t="s">
        <v>155</v>
      </c>
      <c r="C189" s="870" t="s">
        <v>174</v>
      </c>
      <c r="D189" s="859"/>
      <c r="E189" s="859"/>
      <c r="F189" s="859"/>
      <c r="G189" s="859"/>
      <c r="H189" s="859"/>
      <c r="I189" s="859"/>
      <c r="J189" s="859"/>
      <c r="K189" s="859"/>
      <c r="L189" s="859"/>
      <c r="M189" s="871"/>
      <c r="N189" s="1"/>
      <c r="O189" s="1"/>
      <c r="P189" s="1"/>
      <c r="Q189" s="1"/>
      <c r="R189" s="1"/>
      <c r="S189" s="1"/>
      <c r="T189" s="1"/>
      <c r="U189" s="1"/>
      <c r="V189" s="1"/>
      <c r="W189" s="1"/>
      <c r="X189" s="1"/>
      <c r="Y189" s="1"/>
      <c r="Z189" s="1"/>
      <c r="AA189" s="1"/>
      <c r="AB189" s="1"/>
    </row>
    <row r="190" spans="1:28" x14ac:dyDescent="0.25">
      <c r="A190" s="67" t="s">
        <v>569</v>
      </c>
      <c r="B190" s="441">
        <f>B180</f>
        <v>34</v>
      </c>
      <c r="C190" s="393">
        <f>$B190*'Exceptions &amp; Events'!$J$12</f>
        <v>0.21079999999999999</v>
      </c>
      <c r="D190" s="394">
        <f>$B190*'Exceptions &amp; Events'!$J$22</f>
        <v>1.02</v>
      </c>
      <c r="E190" s="394">
        <f>$B190*'Exceptions &amp; Events'!$L$32</f>
        <v>1.02</v>
      </c>
      <c r="F190" s="394">
        <f>$B190*'Exceptions &amp; Events'!$L$41</f>
        <v>1.02</v>
      </c>
      <c r="G190" s="394">
        <f>$B190*'Exceptions &amp; Events'!$J$50</f>
        <v>0.17</v>
      </c>
      <c r="H190" s="394">
        <f>$B190*'Exceptions &amp; Events'!$J$60</f>
        <v>0</v>
      </c>
      <c r="I190" s="395">
        <f>$B190-SUM(C190:H190)</f>
        <v>30.559200000000001</v>
      </c>
      <c r="J190" s="396">
        <f>($B190-I190)/$B190</f>
        <v>0.10119999999999998</v>
      </c>
      <c r="K190" s="397">
        <f>B190-SUM(C190:D190,G190:H190)</f>
        <v>32.599200000000003</v>
      </c>
      <c r="L190" s="398">
        <f>I190</f>
        <v>30.559200000000001</v>
      </c>
      <c r="M190" s="417">
        <f>K190</f>
        <v>32.599200000000003</v>
      </c>
    </row>
    <row r="191" spans="1:28" x14ac:dyDescent="0.25">
      <c r="A191" s="122" t="s">
        <v>531</v>
      </c>
      <c r="B191" s="441">
        <f t="shared" ref="B191:B193" si="68">B181</f>
        <v>391</v>
      </c>
      <c r="C191" s="393">
        <f>$B191*'Exceptions &amp; Events'!$J$12</f>
        <v>2.4241999999999999</v>
      </c>
      <c r="D191" s="394">
        <f>$B191*'Exceptions &amp; Events'!$J$22</f>
        <v>11.73</v>
      </c>
      <c r="E191" s="394">
        <f>$B191*'Exceptions &amp; Events'!$L$32</f>
        <v>11.73</v>
      </c>
      <c r="F191" s="394">
        <f>$B191*'Exceptions &amp; Events'!$L$41</f>
        <v>11.73</v>
      </c>
      <c r="G191" s="394">
        <f>$B191*'Exceptions &amp; Events'!$J$50</f>
        <v>1.9550000000000001</v>
      </c>
      <c r="H191" s="395">
        <f>$B191*'Exceptions &amp; Events'!$J$60</f>
        <v>0</v>
      </c>
      <c r="I191" s="395">
        <f>$B191-SUM(C191:H191)</f>
        <v>351.43079999999998</v>
      </c>
      <c r="J191" s="396">
        <f>($B191-I191)/$B191</f>
        <v>0.10120000000000005</v>
      </c>
      <c r="K191" s="397">
        <f t="shared" ref="K191:K192" si="69">B191-SUM(C191:D191,G191:H191)</f>
        <v>374.89080000000001</v>
      </c>
      <c r="L191" s="398">
        <f t="shared" ref="L191:L192" si="70">I191</f>
        <v>351.43079999999998</v>
      </c>
      <c r="M191" s="417">
        <f t="shared" ref="M191:M192" si="71">K191</f>
        <v>374.89080000000001</v>
      </c>
    </row>
    <row r="192" spans="1:28" x14ac:dyDescent="0.25">
      <c r="A192" s="122" t="s">
        <v>558</v>
      </c>
      <c r="B192" s="441">
        <f t="shared" si="68"/>
        <v>241</v>
      </c>
      <c r="C192" s="393">
        <f>$B192*'Exceptions &amp; Events'!$J$12</f>
        <v>1.4942</v>
      </c>
      <c r="D192" s="394">
        <f>$B192*'Exceptions &amp; Events'!$J$22</f>
        <v>7.2299999999999995</v>
      </c>
      <c r="E192" s="394">
        <f>$B192*'Exceptions &amp; Events'!$L$32</f>
        <v>7.2299999999999995</v>
      </c>
      <c r="F192" s="394">
        <f>$B192*'Exceptions &amp; Events'!$L$41</f>
        <v>7.2299999999999995</v>
      </c>
      <c r="G192" s="394">
        <f>$B192*'Exceptions &amp; Events'!$J$50</f>
        <v>1.2050000000000001</v>
      </c>
      <c r="H192" s="395">
        <f>$B192*'Exceptions &amp; Events'!$J$60</f>
        <v>0</v>
      </c>
      <c r="I192" s="395">
        <f>$B192-SUM(C192:H192)</f>
        <v>216.61079999999998</v>
      </c>
      <c r="J192" s="396">
        <f>($B192-I192)/$B192</f>
        <v>0.10120000000000007</v>
      </c>
      <c r="K192" s="397">
        <f t="shared" si="69"/>
        <v>231.07079999999999</v>
      </c>
      <c r="L192" s="398">
        <f t="shared" si="70"/>
        <v>216.61079999999998</v>
      </c>
      <c r="M192" s="417">
        <f t="shared" si="71"/>
        <v>231.07079999999999</v>
      </c>
    </row>
    <row r="193" spans="1:14" ht="15.75" thickBot="1" x14ac:dyDescent="0.3">
      <c r="A193" s="121" t="s">
        <v>559</v>
      </c>
      <c r="B193" s="441">
        <f t="shared" si="68"/>
        <v>108</v>
      </c>
      <c r="C193" s="393">
        <f>$B193*'Exceptions &amp; Events'!$J$12</f>
        <v>0.66959999999999997</v>
      </c>
      <c r="D193" s="394">
        <f>$B193*'Exceptions &amp; Events'!$J$22</f>
        <v>3.2399999999999998</v>
      </c>
      <c r="E193" s="394">
        <f>$B193*'Exceptions &amp; Events'!$L$32</f>
        <v>3.2399999999999998</v>
      </c>
      <c r="F193" s="394">
        <f>$B193*'Exceptions &amp; Events'!$L$41</f>
        <v>3.2399999999999998</v>
      </c>
      <c r="G193" s="394">
        <f>$B193*'Exceptions &amp; Events'!$J$50</f>
        <v>0.54</v>
      </c>
      <c r="H193" s="395">
        <f>$B193*'Exceptions &amp; Events'!$J$60</f>
        <v>0</v>
      </c>
      <c r="I193" s="395">
        <f>$B193-SUM(C193:H193)</f>
        <v>97.070400000000006</v>
      </c>
      <c r="J193" s="396">
        <f>($B193-I193)/$B193</f>
        <v>0.10119999999999994</v>
      </c>
      <c r="K193" s="405">
        <f>B193-SUM(C193:D193,G193:H193)</f>
        <v>103.5504</v>
      </c>
      <c r="L193" s="406">
        <f>I193</f>
        <v>97.070400000000006</v>
      </c>
      <c r="M193" s="426">
        <f>K193</f>
        <v>103.5504</v>
      </c>
    </row>
    <row r="194" spans="1:14" s="21" customFormat="1" ht="16.5" thickTop="1" thickBot="1" x14ac:dyDescent="0.3">
      <c r="A194" s="117" t="s">
        <v>75</v>
      </c>
      <c r="B194" s="427">
        <f t="shared" ref="B194" si="72">SUM(B190:B193)</f>
        <v>774</v>
      </c>
      <c r="C194" s="409">
        <f>SUM(C190:C193)</f>
        <v>4.7988</v>
      </c>
      <c r="D194" s="410">
        <f t="shared" ref="D194:I194" si="73">SUM(D190:D193)</f>
        <v>23.22</v>
      </c>
      <c r="E194" s="410">
        <f t="shared" si="73"/>
        <v>23.22</v>
      </c>
      <c r="F194" s="410">
        <f t="shared" si="73"/>
        <v>23.22</v>
      </c>
      <c r="G194" s="410">
        <f t="shared" si="73"/>
        <v>3.87</v>
      </c>
      <c r="H194" s="410">
        <f t="shared" si="73"/>
        <v>0</v>
      </c>
      <c r="I194" s="410">
        <f t="shared" si="73"/>
        <v>695.6712</v>
      </c>
      <c r="J194" s="411">
        <f>($B194-I194)/$B194</f>
        <v>0.1012</v>
      </c>
      <c r="K194" s="444">
        <f>SUM(K190:K193)</f>
        <v>742.11119999999994</v>
      </c>
      <c r="L194" s="445">
        <f t="shared" ref="L194:M194" si="74">SUM(L190:L193)</f>
        <v>695.6712</v>
      </c>
      <c r="M194" s="446">
        <f t="shared" si="74"/>
        <v>742.11119999999994</v>
      </c>
      <c r="N194" s="341"/>
    </row>
    <row r="195" spans="1:14" x14ac:dyDescent="0.25">
      <c r="B195" s="786" t="s">
        <v>179</v>
      </c>
      <c r="C195" s="786"/>
      <c r="D195" s="786"/>
      <c r="E195" s="786"/>
      <c r="F195" s="786"/>
      <c r="G195" s="786"/>
      <c r="H195" s="786"/>
      <c r="I195" s="786"/>
      <c r="J195" s="786"/>
      <c r="K195" s="786"/>
      <c r="L195" s="786"/>
    </row>
    <row r="196" spans="1:14" x14ac:dyDescent="0.25">
      <c r="B196" s="786"/>
      <c r="C196" s="786"/>
      <c r="D196" s="786"/>
      <c r="E196" s="786"/>
      <c r="F196" s="786"/>
      <c r="G196" s="786"/>
      <c r="H196" s="786"/>
      <c r="I196" s="786"/>
      <c r="J196" s="786"/>
      <c r="K196" s="786"/>
      <c r="L196" s="786"/>
    </row>
    <row r="197" spans="1:14" s="21" customFormat="1" x14ac:dyDescent="0.25">
      <c r="B197" s="18" t="s">
        <v>478</v>
      </c>
      <c r="C197" s="144"/>
      <c r="D197" s="144"/>
      <c r="E197" s="144"/>
      <c r="F197" s="144"/>
      <c r="G197" s="144"/>
      <c r="H197" s="144"/>
      <c r="I197" s="144"/>
      <c r="J197" s="145"/>
      <c r="K197" s="371"/>
      <c r="L197" s="370"/>
      <c r="M197" s="371"/>
    </row>
    <row r="198" spans="1:14" s="21" customFormat="1" x14ac:dyDescent="0.25">
      <c r="B198" s="1"/>
      <c r="C198" s="144"/>
      <c r="D198" s="144"/>
      <c r="E198" s="144"/>
      <c r="F198" s="144"/>
      <c r="G198" s="144"/>
      <c r="H198" s="144"/>
      <c r="I198" s="144"/>
      <c r="J198" s="145"/>
      <c r="K198" s="371"/>
      <c r="L198" s="371"/>
      <c r="M198" s="371"/>
    </row>
    <row r="199" spans="1:14" s="21" customFormat="1" x14ac:dyDescent="0.25">
      <c r="B199" s="160" t="s">
        <v>178</v>
      </c>
      <c r="C199" s="144"/>
      <c r="D199" s="144"/>
      <c r="E199" s="144"/>
      <c r="F199" s="144"/>
      <c r="G199" s="144"/>
      <c r="H199" s="144"/>
      <c r="I199" s="144"/>
      <c r="J199" s="145"/>
    </row>
    <row r="200" spans="1:14" s="8" customFormat="1" x14ac:dyDescent="0.25">
      <c r="B200" s="18" t="s">
        <v>421</v>
      </c>
    </row>
    <row r="201" spans="1:14" x14ac:dyDescent="0.25">
      <c r="B201" s="18"/>
    </row>
    <row r="202" spans="1:14" x14ac:dyDescent="0.25">
      <c r="B202" s="116" t="s">
        <v>156</v>
      </c>
    </row>
    <row r="203" spans="1:14" x14ac:dyDescent="0.25">
      <c r="B203" s="18" t="s">
        <v>412</v>
      </c>
    </row>
    <row r="204" spans="1:14" x14ac:dyDescent="0.25">
      <c r="B204" s="18" t="s">
        <v>413</v>
      </c>
    </row>
    <row r="205" spans="1:14" x14ac:dyDescent="0.25">
      <c r="B205" s="18" t="s">
        <v>414</v>
      </c>
    </row>
    <row r="206" spans="1:14" x14ac:dyDescent="0.25">
      <c r="B206" s="18" t="s">
        <v>415</v>
      </c>
    </row>
    <row r="207" spans="1:14" x14ac:dyDescent="0.25">
      <c r="B207" s="18" t="s">
        <v>430</v>
      </c>
    </row>
    <row r="208" spans="1:14" x14ac:dyDescent="0.25">
      <c r="B208" s="18" t="s">
        <v>431</v>
      </c>
    </row>
    <row r="209" spans="2:2" x14ac:dyDescent="0.25">
      <c r="B209" s="18" t="s">
        <v>416</v>
      </c>
    </row>
    <row r="210" spans="2:2" x14ac:dyDescent="0.25">
      <c r="B210" s="18" t="s">
        <v>427</v>
      </c>
    </row>
    <row r="211" spans="2:2" x14ac:dyDescent="0.25">
      <c r="B211" s="18" t="s">
        <v>426</v>
      </c>
    </row>
    <row r="212" spans="2:2" x14ac:dyDescent="0.25">
      <c r="B212" s="18" t="s">
        <v>208</v>
      </c>
    </row>
    <row r="213" spans="2:2" x14ac:dyDescent="0.25">
      <c r="B213" s="18" t="s">
        <v>209</v>
      </c>
    </row>
  </sheetData>
  <sheetProtection algorithmName="SHA-512" hashValue="dtvoffDsjhahjLmxMjbF1OlZUoZHQjEoN4VorHj+LKt1IhawdcPROgho2NZlTpG4ugIijIuMVQQAv/mvj6W+eg==" saltValue="6FUsI1iMnnLWkdmtLFCCvQ==" spinCount="100000" sheet="1" objects="1" scenarios="1"/>
  <mergeCells count="50">
    <mergeCell ref="C1:F1"/>
    <mergeCell ref="C2:F2"/>
    <mergeCell ref="C3:F3"/>
    <mergeCell ref="B8:D8"/>
    <mergeCell ref="A144:A145"/>
    <mergeCell ref="B135:L136"/>
    <mergeCell ref="B137:L138"/>
    <mergeCell ref="A58:A59"/>
    <mergeCell ref="A68:A69"/>
    <mergeCell ref="A7:A8"/>
    <mergeCell ref="A18:A19"/>
    <mergeCell ref="A98:A99"/>
    <mergeCell ref="B121:L122"/>
    <mergeCell ref="A111:A112"/>
    <mergeCell ref="C112:N112"/>
    <mergeCell ref="K142:M142"/>
    <mergeCell ref="N5:R5"/>
    <mergeCell ref="F8:R8"/>
    <mergeCell ref="B31:L32"/>
    <mergeCell ref="B26:L27"/>
    <mergeCell ref="C99:N99"/>
    <mergeCell ref="E59:N59"/>
    <mergeCell ref="M56:N56"/>
    <mergeCell ref="B59:D59"/>
    <mergeCell ref="B69:D69"/>
    <mergeCell ref="E69:N69"/>
    <mergeCell ref="M66:N66"/>
    <mergeCell ref="K96:N96"/>
    <mergeCell ref="B19:D19"/>
    <mergeCell ref="F19:R19"/>
    <mergeCell ref="N16:R16"/>
    <mergeCell ref="A188:A189"/>
    <mergeCell ref="C189:M189"/>
    <mergeCell ref="K150:M150"/>
    <mergeCell ref="C153:M153"/>
    <mergeCell ref="K176:M176"/>
    <mergeCell ref="A178:A179"/>
    <mergeCell ref="C179:M179"/>
    <mergeCell ref="A152:A153"/>
    <mergeCell ref="K186:M186"/>
    <mergeCell ref="B157:L158"/>
    <mergeCell ref="C145:M145"/>
    <mergeCell ref="B34:L36"/>
    <mergeCell ref="B195:L196"/>
    <mergeCell ref="B75:L76"/>
    <mergeCell ref="B79:L80"/>
    <mergeCell ref="B81:L82"/>
    <mergeCell ref="B37:L38"/>
    <mergeCell ref="B53:L54"/>
    <mergeCell ref="K109:N109"/>
  </mergeCells>
  <pageMargins left="0.7" right="0.7" top="0.75" bottom="0.75" header="0.3" footer="0.3"/>
  <pageSetup paperSize="5" scale="95" pageOrder="overThenDown" orientation="landscape" r:id="rId1"/>
  <rowBreaks count="14" manualBreakCount="14">
    <brk id="14" max="16383" man="1"/>
    <brk id="25" max="16383" man="1"/>
    <brk id="55" max="16383" man="1"/>
    <brk id="65" max="16383" man="1"/>
    <brk id="74" max="16383" man="1"/>
    <brk id="95" max="16383" man="1"/>
    <brk id="108" max="16383" man="1"/>
    <brk id="120" max="16383" man="1"/>
    <brk id="141" max="16383" man="1"/>
    <brk id="149" max="16383" man="1"/>
    <brk id="156" max="16383" man="1"/>
    <brk id="175" max="16383" man="1"/>
    <brk id="185" max="16383" man="1"/>
    <brk id="194"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theme="9" tint="0.59999389629810485"/>
  </sheetPr>
  <dimension ref="A1:R97"/>
  <sheetViews>
    <sheetView zoomScaleNormal="100" zoomScaleSheetLayoutView="80" workbookViewId="0">
      <selection activeCell="C24" sqref="C24"/>
    </sheetView>
  </sheetViews>
  <sheetFormatPr defaultColWidth="9.140625" defaultRowHeight="15" x14ac:dyDescent="0.25"/>
  <cols>
    <col min="1" max="1" width="43.42578125" style="1" customWidth="1"/>
    <col min="2" max="2" width="27.7109375" style="1" customWidth="1"/>
    <col min="3" max="3" width="14.85546875" style="1" customWidth="1"/>
    <col min="4" max="10" width="12.42578125" style="1" customWidth="1"/>
    <col min="11" max="17" width="13.7109375" style="1" customWidth="1"/>
    <col min="18" max="18" width="13.7109375" style="1" hidden="1" customWidth="1"/>
    <col min="19" max="16384" width="9.140625" style="1"/>
  </cols>
  <sheetData>
    <row r="1" spans="1:5" ht="18.75" x14ac:dyDescent="0.3">
      <c r="A1" s="2" t="s">
        <v>29</v>
      </c>
      <c r="B1" s="754" t="s">
        <v>386</v>
      </c>
      <c r="C1" s="754"/>
      <c r="D1" s="754"/>
    </row>
    <row r="2" spans="1:5" x14ac:dyDescent="0.25">
      <c r="A2" s="3" t="s">
        <v>855</v>
      </c>
      <c r="B2" s="818" t="s">
        <v>379</v>
      </c>
      <c r="C2" s="818"/>
      <c r="D2" s="818"/>
    </row>
    <row r="3" spans="1:5" x14ac:dyDescent="0.25">
      <c r="B3" s="756" t="s">
        <v>375</v>
      </c>
      <c r="C3" s="756"/>
      <c r="D3" s="756"/>
    </row>
    <row r="5" spans="1:5" ht="15.75" x14ac:dyDescent="0.25">
      <c r="A5" s="15" t="s">
        <v>262</v>
      </c>
    </row>
    <row r="6" spans="1:5" s="149" customFormat="1" ht="31.7" customHeight="1" x14ac:dyDescent="0.25">
      <c r="A6" s="903" t="s">
        <v>111</v>
      </c>
      <c r="B6" s="903"/>
      <c r="C6" s="820" t="s">
        <v>112</v>
      </c>
      <c r="D6" s="820"/>
      <c r="E6" s="362" t="s">
        <v>25</v>
      </c>
    </row>
    <row r="7" spans="1:5" x14ac:dyDescent="0.25">
      <c r="A7" s="901" t="s">
        <v>856</v>
      </c>
      <c r="B7" s="902"/>
      <c r="C7" s="818" t="str">
        <f>'Cost Inputs'!B7</f>
        <v>Cost per hour ($)</v>
      </c>
      <c r="D7" s="818"/>
      <c r="E7" s="382">
        <f>'Cost Inputs'!D7</f>
        <v>900</v>
      </c>
    </row>
    <row r="8" spans="1:5" ht="15.75" customHeight="1" x14ac:dyDescent="0.25">
      <c r="D8" s="11"/>
      <c r="E8" s="11"/>
    </row>
    <row r="9" spans="1:5" ht="15.75" customHeight="1" x14ac:dyDescent="0.25">
      <c r="A9" s="540" t="s">
        <v>445</v>
      </c>
      <c r="B9" s="897" t="s">
        <v>790</v>
      </c>
      <c r="C9" s="897"/>
      <c r="D9" s="11"/>
    </row>
    <row r="10" spans="1:5" ht="45" x14ac:dyDescent="0.25">
      <c r="A10" s="540"/>
      <c r="B10" s="619" t="s">
        <v>10</v>
      </c>
      <c r="C10" s="619" t="s">
        <v>11</v>
      </c>
      <c r="D10" s="11"/>
    </row>
    <row r="11" spans="1:5" ht="15.75" customHeight="1" x14ac:dyDescent="0.25">
      <c r="A11" s="644" t="s">
        <v>0</v>
      </c>
      <c r="B11" s="637">
        <f>Apportion!J8</f>
        <v>0</v>
      </c>
      <c r="C11" s="637">
        <f>Apportion!K8</f>
        <v>0</v>
      </c>
      <c r="D11" s="11"/>
    </row>
    <row r="12" spans="1:5" ht="15.75" customHeight="1" x14ac:dyDescent="0.25">
      <c r="A12" s="644" t="s">
        <v>1</v>
      </c>
      <c r="B12" s="637">
        <f>Apportion!J9</f>
        <v>1</v>
      </c>
      <c r="C12" s="637">
        <f>Apportion!K9</f>
        <v>0</v>
      </c>
      <c r="D12" s="11"/>
    </row>
    <row r="13" spans="1:5" ht="15.75" customHeight="1" x14ac:dyDescent="0.25">
      <c r="A13" s="644" t="s">
        <v>2</v>
      </c>
      <c r="B13" s="638"/>
      <c r="C13" s="638"/>
      <c r="D13" s="11"/>
    </row>
    <row r="14" spans="1:5" ht="15.75" customHeight="1" x14ac:dyDescent="0.25">
      <c r="A14" s="644" t="s">
        <v>3</v>
      </c>
      <c r="B14" s="637">
        <f>Apportion!J11</f>
        <v>0</v>
      </c>
      <c r="C14" s="637">
        <f>Apportion!K11</f>
        <v>0</v>
      </c>
      <c r="D14" s="11"/>
    </row>
    <row r="15" spans="1:5" ht="15.75" customHeight="1" x14ac:dyDescent="0.25">
      <c r="A15" s="644" t="s">
        <v>4</v>
      </c>
      <c r="B15" s="637">
        <f>Apportion!J12</f>
        <v>0</v>
      </c>
      <c r="C15" s="637">
        <f>Apportion!K12</f>
        <v>1</v>
      </c>
      <c r="D15" s="11"/>
    </row>
    <row r="16" spans="1:5" ht="15.75" customHeight="1" x14ac:dyDescent="0.25">
      <c r="A16" s="644" t="s">
        <v>5</v>
      </c>
      <c r="B16" s="637">
        <f>Apportion!J13</f>
        <v>1</v>
      </c>
      <c r="C16" s="637">
        <f>Apportion!K13</f>
        <v>0</v>
      </c>
      <c r="D16" s="11"/>
    </row>
    <row r="17" spans="1:7" ht="15.75" customHeight="1" x14ac:dyDescent="0.25">
      <c r="A17" s="644" t="s">
        <v>530</v>
      </c>
      <c r="B17" s="638"/>
      <c r="C17" s="638"/>
      <c r="D17" s="11"/>
    </row>
    <row r="18" spans="1:7" ht="15.75" customHeight="1" x14ac:dyDescent="0.25">
      <c r="A18" s="644" t="s">
        <v>531</v>
      </c>
      <c r="B18" s="637">
        <f>Apportion!J15</f>
        <v>0</v>
      </c>
      <c r="C18" s="637">
        <f>Apportion!K15</f>
        <v>1</v>
      </c>
      <c r="D18" s="11"/>
    </row>
    <row r="19" spans="1:7" ht="15.75" customHeight="1" x14ac:dyDescent="0.25">
      <c r="A19" s="644" t="s">
        <v>558</v>
      </c>
      <c r="B19" s="637">
        <f>Apportion!J16</f>
        <v>0</v>
      </c>
      <c r="C19" s="637">
        <f>Apportion!K16</f>
        <v>1</v>
      </c>
      <c r="D19" s="11"/>
    </row>
    <row r="20" spans="1:7" ht="15.75" customHeight="1" x14ac:dyDescent="0.25">
      <c r="A20" s="644" t="s">
        <v>559</v>
      </c>
      <c r="B20" s="638"/>
      <c r="C20" s="638"/>
      <c r="D20" s="11"/>
    </row>
    <row r="21" spans="1:7" ht="15.75" customHeight="1" x14ac:dyDescent="0.25">
      <c r="D21" s="11"/>
      <c r="E21" s="11"/>
    </row>
    <row r="22" spans="1:7" ht="15.75" x14ac:dyDescent="0.25">
      <c r="A22" s="184" t="s">
        <v>224</v>
      </c>
      <c r="B22" s="176" t="s">
        <v>112</v>
      </c>
      <c r="C22" s="176" t="s">
        <v>25</v>
      </c>
      <c r="D22" s="11"/>
      <c r="E22" s="11"/>
    </row>
    <row r="23" spans="1:7" x14ac:dyDescent="0.25">
      <c r="A23" s="164" t="s">
        <v>81</v>
      </c>
      <c r="B23" s="150" t="s">
        <v>188</v>
      </c>
      <c r="C23" s="165">
        <f>'Electricity &amp; Fuel'!C9</f>
        <v>38.7546172626759</v>
      </c>
      <c r="D23" s="11"/>
      <c r="E23" s="11"/>
    </row>
    <row r="24" spans="1:7" x14ac:dyDescent="0.25">
      <c r="A24" s="704" t="s">
        <v>822</v>
      </c>
      <c r="B24" s="150" t="s">
        <v>188</v>
      </c>
      <c r="C24" s="165">
        <f>'Electricity &amp; Fuel'!C11</f>
        <v>19.8</v>
      </c>
      <c r="D24" s="11"/>
      <c r="E24" s="11"/>
    </row>
    <row r="25" spans="1:7" x14ac:dyDescent="0.25">
      <c r="D25" s="11"/>
      <c r="E25" s="11"/>
    </row>
    <row r="26" spans="1:7" x14ac:dyDescent="0.25">
      <c r="A26" s="256"/>
      <c r="B26" s="14"/>
      <c r="C26" s="143"/>
      <c r="D26" s="14"/>
      <c r="E26" s="11"/>
    </row>
    <row r="27" spans="1:7" ht="15.75" x14ac:dyDescent="0.25">
      <c r="A27" s="899" t="s">
        <v>113</v>
      </c>
      <c r="B27" s="899"/>
      <c r="C27" s="899"/>
      <c r="D27" s="899"/>
      <c r="E27" s="898" t="s">
        <v>112</v>
      </c>
      <c r="F27" s="837"/>
      <c r="G27" s="362" t="s">
        <v>25</v>
      </c>
    </row>
    <row r="28" spans="1:7" x14ac:dyDescent="0.25">
      <c r="A28" s="891" t="s">
        <v>857</v>
      </c>
      <c r="B28" s="892"/>
      <c r="C28" s="892"/>
      <c r="D28" s="892"/>
      <c r="E28" s="895" t="str">
        <f>'Cost Inputs'!B11</f>
        <v>Cost per system ($)</v>
      </c>
      <c r="F28" s="896"/>
      <c r="G28" s="382">
        <f>'Cost Inputs'!D11</f>
        <v>3600000</v>
      </c>
    </row>
    <row r="29" spans="1:7" x14ac:dyDescent="0.25">
      <c r="A29" s="892" t="s">
        <v>26</v>
      </c>
      <c r="B29" s="892"/>
      <c r="C29" s="892"/>
      <c r="D29" s="892"/>
      <c r="E29" s="895" t="str">
        <f>'Cost Inputs'!B12</f>
        <v>Hourly cost per system ($)</v>
      </c>
      <c r="F29" s="896"/>
      <c r="G29" s="382">
        <f>'Cost Inputs'!D12</f>
        <v>0</v>
      </c>
    </row>
    <row r="30" spans="1:7" x14ac:dyDescent="0.25">
      <c r="A30" s="892" t="s">
        <v>462</v>
      </c>
      <c r="B30" s="892"/>
      <c r="C30" s="892"/>
      <c r="D30" s="892"/>
      <c r="E30" s="895" t="str">
        <f>'Cost Inputs'!B76</f>
        <v>Cost per system ($)</v>
      </c>
      <c r="F30" s="896"/>
      <c r="G30" s="382">
        <f>'Cost Inputs'!D76</f>
        <v>12000</v>
      </c>
    </row>
    <row r="31" spans="1:7" x14ac:dyDescent="0.25">
      <c r="A31" s="892" t="s">
        <v>464</v>
      </c>
      <c r="B31" s="892"/>
      <c r="C31" s="892"/>
      <c r="D31" s="892"/>
      <c r="E31" s="895" t="str">
        <f>'Cost Inputs'!B77</f>
        <v>Cost per approval ($)</v>
      </c>
      <c r="F31" s="896"/>
      <c r="G31" s="382">
        <f>'Cost Inputs'!D77</f>
        <v>150000</v>
      </c>
    </row>
    <row r="32" spans="1:7" x14ac:dyDescent="0.25">
      <c r="A32" s="892" t="s">
        <v>465</v>
      </c>
      <c r="B32" s="892"/>
      <c r="C32" s="892"/>
      <c r="D32" s="892"/>
      <c r="E32" s="895" t="str">
        <f>'Cost Inputs'!B14</f>
        <v>Cost per hour ($)</v>
      </c>
      <c r="F32" s="896"/>
      <c r="G32" s="382">
        <f>'Cost Inputs'!D14</f>
        <v>100</v>
      </c>
    </row>
    <row r="33" spans="1:18" x14ac:dyDescent="0.25">
      <c r="A33" s="892" t="s">
        <v>429</v>
      </c>
      <c r="B33" s="892"/>
      <c r="C33" s="892"/>
      <c r="D33" s="892"/>
      <c r="E33" s="895" t="str">
        <f>'Cost Inputs'!B79</f>
        <v>fraction</v>
      </c>
      <c r="F33" s="896"/>
      <c r="G33" s="384">
        <f>'Cost Inputs'!D79</f>
        <v>8.0199999999999994E-2</v>
      </c>
    </row>
    <row r="34" spans="1:18" ht="15" customHeight="1" x14ac:dyDescent="0.25">
      <c r="A34" s="892" t="s">
        <v>463</v>
      </c>
      <c r="B34" s="892"/>
      <c r="C34" s="892"/>
      <c r="D34" s="892"/>
      <c r="E34" s="895" t="str">
        <f>'Cost Inputs'!B13</f>
        <v>Annual cost per system ($)</v>
      </c>
      <c r="F34" s="896"/>
      <c r="G34" s="382">
        <f>'Cost Inputs'!D13</f>
        <v>17500</v>
      </c>
    </row>
    <row r="35" spans="1:18" x14ac:dyDescent="0.25">
      <c r="A35" s="256"/>
      <c r="B35" s="14"/>
      <c r="C35" s="143"/>
      <c r="D35" s="14"/>
      <c r="E35" s="11"/>
    </row>
    <row r="36" spans="1:18" ht="45" x14ac:dyDescent="0.25">
      <c r="A36" s="251" t="s">
        <v>175</v>
      </c>
      <c r="B36" s="820" t="s">
        <v>214</v>
      </c>
      <c r="C36" s="820"/>
      <c r="D36" s="820"/>
      <c r="E36" s="820"/>
      <c r="F36" s="176" t="s">
        <v>213</v>
      </c>
      <c r="G36" s="273" t="s">
        <v>840</v>
      </c>
      <c r="H36" s="273" t="s">
        <v>193</v>
      </c>
      <c r="I36" s="273" t="s">
        <v>791</v>
      </c>
    </row>
    <row r="37" spans="1:18" x14ac:dyDescent="0.25">
      <c r="A37" s="717" t="s">
        <v>908</v>
      </c>
      <c r="B37" s="891" t="s">
        <v>858</v>
      </c>
      <c r="C37" s="892"/>
      <c r="D37" s="892"/>
      <c r="E37" s="892"/>
      <c r="F37" s="10" t="s">
        <v>211</v>
      </c>
      <c r="G37" s="636">
        <f>'Berths, Terminals, Vessels'!F62</f>
        <v>1</v>
      </c>
      <c r="H37" s="268">
        <f>'Berths, Terminals, Vessels'!D$58</f>
        <v>2024</v>
      </c>
      <c r="I37" s="636">
        <f>'Berths, Terminals, Vessels'!F59+'Berths, Terminals, Vessels'!F61</f>
        <v>2</v>
      </c>
    </row>
    <row r="38" spans="1:18" ht="15" customHeight="1" x14ac:dyDescent="0.25"/>
    <row r="39" spans="1:18" ht="15.75" x14ac:dyDescent="0.25">
      <c r="A39" s="893" t="s">
        <v>23</v>
      </c>
      <c r="B39" s="894"/>
      <c r="C39" s="176" t="s">
        <v>15</v>
      </c>
      <c r="D39" s="148">
        <v>2019</v>
      </c>
      <c r="E39" s="148">
        <v>2020</v>
      </c>
      <c r="F39" s="148">
        <v>2021</v>
      </c>
      <c r="G39" s="148">
        <v>2022</v>
      </c>
      <c r="H39" s="148">
        <v>2023</v>
      </c>
      <c r="I39" s="148">
        <v>2024</v>
      </c>
      <c r="J39" s="148">
        <v>2025</v>
      </c>
      <c r="K39" s="148">
        <v>2026</v>
      </c>
      <c r="L39" s="148">
        <v>2027</v>
      </c>
      <c r="M39" s="148">
        <v>2028</v>
      </c>
      <c r="N39" s="148">
        <v>2029</v>
      </c>
      <c r="O39" s="148">
        <v>2030</v>
      </c>
      <c r="P39" s="161">
        <v>2031</v>
      </c>
      <c r="Q39" s="161">
        <v>2032</v>
      </c>
    </row>
    <row r="40" spans="1:18" s="21" customFormat="1" x14ac:dyDescent="0.25">
      <c r="A40" s="171" t="s">
        <v>189</v>
      </c>
      <c r="C40" s="147"/>
      <c r="D40" s="74"/>
    </row>
    <row r="41" spans="1:18" x14ac:dyDescent="0.25">
      <c r="A41" s="823" t="s">
        <v>190</v>
      </c>
      <c r="B41" s="824"/>
      <c r="C41" s="175" t="s">
        <v>22</v>
      </c>
      <c r="D41" s="386"/>
      <c r="E41" s="386"/>
      <c r="F41" s="387">
        <f>'Vessel Visits'!$R14</f>
        <v>55</v>
      </c>
      <c r="G41" s="387">
        <f>'Vessel Visits'!$R14</f>
        <v>55</v>
      </c>
      <c r="H41" s="387">
        <f>'Vessel Visits'!$R25</f>
        <v>55</v>
      </c>
      <c r="I41" s="387">
        <f>'Vessel Visits'!$R25</f>
        <v>55</v>
      </c>
      <c r="J41" s="387">
        <f>'Vessel Visits'!$R25</f>
        <v>55</v>
      </c>
      <c r="K41" s="387">
        <f>'Vessel Visits'!$R25</f>
        <v>55</v>
      </c>
      <c r="L41" s="387">
        <f>'Vessel Visits'!$R25</f>
        <v>55</v>
      </c>
      <c r="M41" s="387">
        <f>'Vessel Visits'!$R25</f>
        <v>55</v>
      </c>
      <c r="N41" s="387">
        <f>'Vessel Visits'!$R25</f>
        <v>55</v>
      </c>
      <c r="O41" s="387">
        <f>'Vessel Visits'!$R25</f>
        <v>55</v>
      </c>
      <c r="P41" s="387">
        <f>'Vessel Visits'!$R25</f>
        <v>55</v>
      </c>
      <c r="Q41" s="387">
        <f>'Vessel Visits'!$R25</f>
        <v>55</v>
      </c>
      <c r="R41" s="11"/>
    </row>
    <row r="42" spans="1:18" x14ac:dyDescent="0.25">
      <c r="A42" s="823" t="s">
        <v>186</v>
      </c>
      <c r="B42" s="824"/>
      <c r="C42" s="175" t="s">
        <v>27</v>
      </c>
      <c r="D42" s="388">
        <f>Growth!F$7</f>
        <v>3.8665099247932266E-2</v>
      </c>
      <c r="E42" s="388">
        <f>Growth!F$8</f>
        <v>7.9641297146510415E-2</v>
      </c>
      <c r="F42" s="388">
        <f>Growth!F$9</f>
        <v>0.15256235056907913</v>
      </c>
      <c r="G42" s="388">
        <f>Growth!F$10</f>
        <v>0.19385114943417511</v>
      </c>
      <c r="H42" s="388">
        <f>Growth!F$11</f>
        <v>0.23786367889837565</v>
      </c>
      <c r="I42" s="388">
        <f>Growth!F$12</f>
        <v>0.28465423170158566</v>
      </c>
      <c r="J42" s="388">
        <f>Growth!F$13</f>
        <v>0.33429164292179847</v>
      </c>
      <c r="K42" s="388">
        <f>Growth!F$14</f>
        <v>0.41005488530447487</v>
      </c>
      <c r="L42" s="388">
        <f>Growth!F$15</f>
        <v>0.44448774785521072</v>
      </c>
      <c r="M42" s="388">
        <f>Growth!F$16</f>
        <v>0.48217019049045101</v>
      </c>
      <c r="N42" s="388">
        <f>Growth!F$17</f>
        <v>0.5230248906889251</v>
      </c>
      <c r="O42" s="388">
        <f>Growth!F$18</f>
        <v>0.56700845918311726</v>
      </c>
      <c r="P42" s="388">
        <f>Growth!F$19</f>
        <v>0.61410530272263486</v>
      </c>
      <c r="Q42" s="388">
        <f>Growth!F$20</f>
        <v>0.69124079785891168</v>
      </c>
      <c r="R42" s="11"/>
    </row>
    <row r="43" spans="1:18" s="21" customFormat="1" ht="6" customHeight="1" x14ac:dyDescent="0.25">
      <c r="A43" s="171"/>
      <c r="C43" s="147"/>
      <c r="D43" s="389"/>
      <c r="E43" s="314"/>
      <c r="F43" s="314"/>
      <c r="G43" s="314"/>
      <c r="H43" s="314"/>
      <c r="I43" s="314"/>
      <c r="J43" s="314"/>
      <c r="K43" s="314"/>
      <c r="L43" s="314"/>
      <c r="M43" s="314"/>
      <c r="N43" s="314"/>
      <c r="O43" s="314"/>
      <c r="P43" s="314"/>
      <c r="Q43" s="314"/>
    </row>
    <row r="44" spans="1:18" s="21" customFormat="1" x14ac:dyDescent="0.25">
      <c r="A44" s="171" t="s">
        <v>822</v>
      </c>
      <c r="C44" s="147"/>
      <c r="D44" s="389"/>
      <c r="E44" s="314"/>
      <c r="F44" s="314"/>
      <c r="G44" s="314"/>
      <c r="H44" s="314"/>
      <c r="I44" s="314"/>
      <c r="J44" s="314"/>
      <c r="K44" s="314"/>
      <c r="L44" s="314"/>
      <c r="M44" s="314"/>
      <c r="N44" s="314"/>
      <c r="O44" s="314"/>
      <c r="P44" s="314"/>
      <c r="Q44" s="314"/>
    </row>
    <row r="45" spans="1:18" x14ac:dyDescent="0.25">
      <c r="A45" s="890" t="s">
        <v>860</v>
      </c>
      <c r="B45" s="824"/>
      <c r="C45" s="175" t="s">
        <v>22</v>
      </c>
      <c r="D45" s="386"/>
      <c r="E45" s="386"/>
      <c r="F45" s="386"/>
      <c r="G45" s="386"/>
      <c r="H45" s="386"/>
      <c r="I45" s="386"/>
      <c r="J45" s="387">
        <f>'Vessel Visits'!$K107</f>
        <v>598.56510046728965</v>
      </c>
      <c r="K45" s="387">
        <f>'Vessel Visits'!$K120</f>
        <v>598.56510046728965</v>
      </c>
      <c r="L45" s="387">
        <f>'Vessel Visits'!$K120</f>
        <v>598.56510046728965</v>
      </c>
      <c r="M45" s="387">
        <f>'Vessel Visits'!$K120</f>
        <v>598.56510046728965</v>
      </c>
      <c r="N45" s="387">
        <f>'Vessel Visits'!$K120</f>
        <v>598.56510046728965</v>
      </c>
      <c r="O45" s="387">
        <f>'Vessel Visits'!$K120</f>
        <v>598.56510046728965</v>
      </c>
      <c r="P45" s="387">
        <f>'Vessel Visits'!$K120</f>
        <v>598.56510046728965</v>
      </c>
      <c r="Q45" s="387">
        <f>'Vessel Visits'!$K120</f>
        <v>598.56510046728965</v>
      </c>
      <c r="R45" s="11"/>
    </row>
    <row r="46" spans="1:18" x14ac:dyDescent="0.25">
      <c r="A46" s="890" t="s">
        <v>859</v>
      </c>
      <c r="B46" s="824"/>
      <c r="C46" s="175" t="s">
        <v>22</v>
      </c>
      <c r="D46" s="386"/>
      <c r="E46" s="386"/>
      <c r="F46" s="386"/>
      <c r="G46" s="386"/>
      <c r="H46" s="386"/>
      <c r="I46" s="386"/>
      <c r="J46" s="387">
        <f>'Vessel Visits'!$L107</f>
        <v>376.57014205607476</v>
      </c>
      <c r="K46" s="387">
        <f>'Vessel Visits'!$L120</f>
        <v>376.57014205607476</v>
      </c>
      <c r="L46" s="387">
        <f>'Vessel Visits'!$L120</f>
        <v>376.57014205607476</v>
      </c>
      <c r="M46" s="387">
        <f>'Vessel Visits'!$L120</f>
        <v>376.57014205607476</v>
      </c>
      <c r="N46" s="387">
        <f>'Vessel Visits'!$L120</f>
        <v>376.57014205607476</v>
      </c>
      <c r="O46" s="387">
        <f>'Vessel Visits'!$L120</f>
        <v>376.57014205607476</v>
      </c>
      <c r="P46" s="387">
        <f>'Vessel Visits'!$L120</f>
        <v>376.57014205607476</v>
      </c>
      <c r="Q46" s="387">
        <f>'Vessel Visits'!$L120</f>
        <v>376.57014205607476</v>
      </c>
      <c r="R46" s="11"/>
    </row>
    <row r="47" spans="1:18" x14ac:dyDescent="0.25">
      <c r="A47" s="890" t="s">
        <v>861</v>
      </c>
      <c r="B47" s="824"/>
      <c r="C47" s="175" t="s">
        <v>27</v>
      </c>
      <c r="D47" s="388">
        <f>Growth!H$7</f>
        <v>3.6721349367557554E-2</v>
      </c>
      <c r="E47" s="388">
        <f>Growth!H$8</f>
        <v>7.4987179834447554E-2</v>
      </c>
      <c r="F47" s="388">
        <f>Growth!H$9</f>
        <v>0.11487071873903137</v>
      </c>
      <c r="G47" s="388">
        <f>Growth!H$10</f>
        <v>0.15102739754508301</v>
      </c>
      <c r="H47" s="388">
        <f>Growth!H$11</f>
        <v>0.18440519556548982</v>
      </c>
      <c r="I47" s="388">
        <f>Growth!H$12</f>
        <v>0.21887580559911993</v>
      </c>
      <c r="J47" s="388">
        <f>Growth!H$13</f>
        <v>0.2544794366551939</v>
      </c>
      <c r="K47" s="388">
        <f>Growth!H$14</f>
        <v>0.29125791799611689</v>
      </c>
      <c r="L47" s="388">
        <f>Growth!H$15</f>
        <v>0.32914486406438159</v>
      </c>
      <c r="M47" s="388">
        <f>Growth!H$16</f>
        <v>0.35936354031630968</v>
      </c>
      <c r="N47" s="388">
        <f>Growth!H$17</f>
        <v>0.39027252206645779</v>
      </c>
      <c r="O47" s="388">
        <f>Growth!H$18</f>
        <v>0.42188765098325831</v>
      </c>
      <c r="P47" s="388">
        <f>Growth!H$19</f>
        <v>0.45422513389525299</v>
      </c>
      <c r="Q47" s="388">
        <f>Growth!H$20</f>
        <v>0.48860137895136968</v>
      </c>
      <c r="R47" s="11"/>
    </row>
    <row r="48" spans="1:18" s="21" customFormat="1" ht="6" customHeight="1" x14ac:dyDescent="0.25">
      <c r="A48" s="171"/>
      <c r="C48" s="147"/>
      <c r="D48" s="389"/>
      <c r="E48" s="314"/>
      <c r="F48" s="314"/>
      <c r="G48" s="314"/>
      <c r="H48" s="314"/>
      <c r="I48" s="314"/>
      <c r="J48" s="314"/>
      <c r="K48" s="314"/>
      <c r="L48" s="314"/>
      <c r="M48" s="314"/>
      <c r="N48" s="314"/>
      <c r="O48" s="314"/>
      <c r="P48" s="314"/>
      <c r="Q48" s="314"/>
    </row>
    <row r="49" spans="1:18" s="21" customFormat="1" ht="6" customHeight="1" x14ac:dyDescent="0.25">
      <c r="A49" s="171"/>
      <c r="C49" s="147"/>
      <c r="D49" s="389"/>
      <c r="E49" s="314"/>
      <c r="F49" s="314"/>
      <c r="G49" s="314"/>
      <c r="H49" s="314"/>
      <c r="I49" s="314"/>
      <c r="J49" s="314"/>
      <c r="K49" s="314"/>
      <c r="L49" s="314"/>
      <c r="M49" s="314"/>
      <c r="N49" s="314"/>
      <c r="O49" s="314"/>
      <c r="P49" s="314"/>
      <c r="Q49" s="314"/>
    </row>
    <row r="50" spans="1:18" ht="15" customHeight="1" x14ac:dyDescent="0.25">
      <c r="A50" s="15" t="s">
        <v>261</v>
      </c>
    </row>
    <row r="51" spans="1:18" s="166" customFormat="1" ht="45" x14ac:dyDescent="0.25">
      <c r="A51" s="9" t="s">
        <v>909</v>
      </c>
      <c r="B51" s="155" t="s">
        <v>21</v>
      </c>
      <c r="C51" s="155" t="s">
        <v>77</v>
      </c>
      <c r="D51" s="155">
        <v>2019</v>
      </c>
      <c r="E51" s="155">
        <v>2020</v>
      </c>
      <c r="F51" s="155">
        <v>2021</v>
      </c>
      <c r="G51" s="155">
        <v>2022</v>
      </c>
      <c r="H51" s="155">
        <v>2023</v>
      </c>
      <c r="I51" s="155">
        <v>2024</v>
      </c>
      <c r="J51" s="155">
        <v>2025</v>
      </c>
      <c r="K51" s="155">
        <v>2026</v>
      </c>
      <c r="L51" s="155">
        <v>2027</v>
      </c>
      <c r="M51" s="155">
        <v>2028</v>
      </c>
      <c r="N51" s="155">
        <v>2029</v>
      </c>
      <c r="O51" s="155">
        <v>2030</v>
      </c>
      <c r="P51" s="153">
        <v>2031</v>
      </c>
      <c r="Q51" s="153">
        <v>2032</v>
      </c>
    </row>
    <row r="52" spans="1:18" ht="30" x14ac:dyDescent="0.25">
      <c r="A52" s="167" t="s">
        <v>215</v>
      </c>
      <c r="B52" s="168" t="s">
        <v>30</v>
      </c>
      <c r="C52" s="164" t="s">
        <v>13</v>
      </c>
      <c r="D52" s="386"/>
      <c r="E52" s="386"/>
      <c r="F52" s="377">
        <f t="shared" ref="F52:Q52" si="0">F41*$E7*(1+F42)*$C23</f>
        <v>2211022.0819999003</v>
      </c>
      <c r="G52" s="377">
        <f t="shared" si="0"/>
        <v>2290228.5960638938</v>
      </c>
      <c r="H52" s="377">
        <f t="shared" si="0"/>
        <v>2374660.1884041871</v>
      </c>
      <c r="I52" s="377">
        <f t="shared" si="0"/>
        <v>2464421.0116913598</v>
      </c>
      <c r="J52" s="377">
        <f t="shared" si="0"/>
        <v>2559643.1159419548</v>
      </c>
      <c r="K52" s="377">
        <f t="shared" si="0"/>
        <v>2704983.8012673934</v>
      </c>
      <c r="L52" s="377">
        <f t="shared" si="0"/>
        <v>2771038.2055332926</v>
      </c>
      <c r="M52" s="377">
        <f t="shared" si="0"/>
        <v>2843326.4533049404</v>
      </c>
      <c r="N52" s="377">
        <f t="shared" si="0"/>
        <v>2921700.2126488159</v>
      </c>
      <c r="O52" s="377">
        <f t="shared" si="0"/>
        <v>3006076.2476093513</v>
      </c>
      <c r="P52" s="377">
        <f t="shared" si="0"/>
        <v>3096424.6448192312</v>
      </c>
      <c r="Q52" s="377">
        <f t="shared" si="0"/>
        <v>3244397.7960922145</v>
      </c>
      <c r="R52" s="11"/>
    </row>
    <row r="53" spans="1:18" s="21" customFormat="1" ht="6" customHeight="1" x14ac:dyDescent="0.25">
      <c r="A53" s="171"/>
      <c r="C53" s="147"/>
      <c r="D53" s="389"/>
      <c r="E53" s="314"/>
      <c r="F53" s="314"/>
      <c r="G53" s="314"/>
      <c r="H53" s="314"/>
      <c r="I53" s="314"/>
      <c r="J53" s="314"/>
      <c r="K53" s="314"/>
      <c r="L53" s="314"/>
      <c r="M53" s="314"/>
      <c r="N53" s="314"/>
      <c r="O53" s="314"/>
      <c r="P53" s="314"/>
      <c r="Q53" s="314"/>
    </row>
    <row r="54" spans="1:18" x14ac:dyDescent="0.25">
      <c r="A54" s="167" t="s">
        <v>221</v>
      </c>
      <c r="B54" s="168" t="s">
        <v>30</v>
      </c>
      <c r="C54" s="629" t="s">
        <v>822</v>
      </c>
      <c r="D54" s="386"/>
      <c r="E54" s="386"/>
      <c r="F54" s="386"/>
      <c r="G54" s="386"/>
      <c r="H54" s="386"/>
      <c r="I54" s="386"/>
      <c r="J54" s="377">
        <f t="shared" ref="J54:Q54" si="1">J45*(1+J47)*$E7*$C24</f>
        <v>13380817.210835552</v>
      </c>
      <c r="K54" s="377">
        <f t="shared" si="1"/>
        <v>13773112.310886905</v>
      </c>
      <c r="L54" s="377">
        <f t="shared" si="1"/>
        <v>14177230.772460047</v>
      </c>
      <c r="M54" s="377">
        <f t="shared" si="1"/>
        <v>14499556.170123462</v>
      </c>
      <c r="N54" s="377">
        <f t="shared" si="1"/>
        <v>14829244.663124615</v>
      </c>
      <c r="O54" s="377">
        <f t="shared" si="1"/>
        <v>15166465.225512346</v>
      </c>
      <c r="P54" s="377">
        <f t="shared" si="1"/>
        <v>15511390.726290284</v>
      </c>
      <c r="Q54" s="377">
        <f t="shared" si="1"/>
        <v>15878062.540949307</v>
      </c>
      <c r="R54" s="11"/>
    </row>
    <row r="55" spans="1:18" s="21" customFormat="1" ht="6" customHeight="1" x14ac:dyDescent="0.25">
      <c r="A55" s="171"/>
      <c r="C55" s="147"/>
      <c r="D55" s="389"/>
      <c r="E55" s="314"/>
      <c r="F55" s="314"/>
      <c r="G55" s="314"/>
      <c r="H55" s="314"/>
      <c r="I55" s="314"/>
      <c r="J55" s="314"/>
      <c r="K55" s="314"/>
      <c r="L55" s="314"/>
      <c r="M55" s="314"/>
      <c r="N55" s="314"/>
      <c r="O55" s="314"/>
      <c r="P55" s="314"/>
      <c r="Q55" s="314"/>
    </row>
    <row r="56" spans="1:18" s="215" customFormat="1" x14ac:dyDescent="0.25">
      <c r="A56" s="373" t="s">
        <v>854</v>
      </c>
      <c r="B56" s="209"/>
      <c r="C56" s="210"/>
      <c r="D56" s="551"/>
      <c r="E56" s="551"/>
      <c r="F56" s="551"/>
      <c r="G56" s="551"/>
      <c r="H56" s="551"/>
      <c r="I56" s="551"/>
      <c r="J56" s="607"/>
      <c r="K56" s="606"/>
      <c r="L56" s="551"/>
      <c r="M56" s="551"/>
      <c r="N56" s="551"/>
      <c r="O56" s="551"/>
      <c r="P56" s="551"/>
      <c r="Q56" s="551"/>
      <c r="R56" s="214"/>
    </row>
    <row r="57" spans="1:18" s="215" customFormat="1" x14ac:dyDescent="0.25">
      <c r="A57" s="372"/>
      <c r="B57" s="209"/>
      <c r="C57" s="210"/>
      <c r="D57" s="86"/>
      <c r="E57" s="86"/>
      <c r="F57" s="531"/>
      <c r="G57" s="531"/>
      <c r="H57" s="531"/>
      <c r="I57" s="531"/>
      <c r="J57" s="531"/>
      <c r="K57" s="531"/>
      <c r="L57" s="531"/>
      <c r="M57" s="531"/>
      <c r="N57" s="531"/>
      <c r="O57" s="531"/>
      <c r="P57" s="531"/>
      <c r="Q57" s="531"/>
      <c r="R57" s="214"/>
    </row>
    <row r="58" spans="1:18" s="215" customFormat="1" x14ac:dyDescent="0.25">
      <c r="A58" s="216" t="s">
        <v>216</v>
      </c>
      <c r="B58" s="209"/>
      <c r="C58" s="210"/>
      <c r="D58" s="86"/>
      <c r="E58" s="86"/>
      <c r="R58" s="214"/>
    </row>
    <row r="59" spans="1:18" s="215" customFormat="1" x14ac:dyDescent="0.25">
      <c r="A59" s="220" t="s">
        <v>381</v>
      </c>
      <c r="B59" s="209"/>
      <c r="C59" s="210"/>
      <c r="D59" s="86"/>
      <c r="E59" s="86"/>
      <c r="R59" s="214"/>
    </row>
    <row r="60" spans="1:18" s="215" customFormat="1" x14ac:dyDescent="0.25">
      <c r="A60" s="220" t="s">
        <v>382</v>
      </c>
      <c r="B60" s="209"/>
      <c r="C60" s="210"/>
      <c r="D60" s="86"/>
      <c r="E60" s="86"/>
      <c r="R60" s="214"/>
    </row>
    <row r="61" spans="1:18" s="166" customFormat="1" x14ac:dyDescent="0.25">
      <c r="A61" s="217"/>
      <c r="B61" s="211"/>
      <c r="C61" s="218"/>
      <c r="D61" s="212"/>
      <c r="E61" s="212"/>
      <c r="F61" s="212"/>
      <c r="G61" s="212"/>
      <c r="H61" s="212"/>
      <c r="I61" s="212"/>
      <c r="J61" s="212"/>
      <c r="K61" s="212"/>
      <c r="L61" s="212"/>
      <c r="M61" s="212"/>
      <c r="N61" s="212"/>
      <c r="O61" s="212"/>
      <c r="P61" s="212"/>
      <c r="Q61" s="219"/>
    </row>
    <row r="62" spans="1:18" s="3" customFormat="1" ht="45" x14ac:dyDescent="0.25">
      <c r="A62" s="9" t="s">
        <v>910</v>
      </c>
      <c r="B62" s="4" t="s">
        <v>21</v>
      </c>
      <c r="C62" s="4" t="s">
        <v>77</v>
      </c>
      <c r="D62" s="4">
        <v>2019</v>
      </c>
      <c r="E62" s="4">
        <v>2020</v>
      </c>
      <c r="F62" s="4">
        <v>2021</v>
      </c>
      <c r="G62" s="4">
        <v>2022</v>
      </c>
      <c r="H62" s="4">
        <v>2023</v>
      </c>
      <c r="I62" s="4">
        <v>2024</v>
      </c>
      <c r="J62" s="4">
        <v>2025</v>
      </c>
      <c r="K62" s="4">
        <v>2026</v>
      </c>
      <c r="L62" s="4">
        <v>2027</v>
      </c>
      <c r="M62" s="4">
        <v>2028</v>
      </c>
      <c r="N62" s="4">
        <v>2029</v>
      </c>
      <c r="O62" s="4">
        <v>2030</v>
      </c>
      <c r="P62" s="153">
        <v>2031</v>
      </c>
      <c r="Q62" s="153">
        <v>2032</v>
      </c>
    </row>
    <row r="63" spans="1:18" s="267" customFormat="1" ht="30" x14ac:dyDescent="0.25">
      <c r="A63" s="630" t="s">
        <v>217</v>
      </c>
      <c r="B63" s="170" t="s">
        <v>34</v>
      </c>
      <c r="C63" s="321" t="s">
        <v>822</v>
      </c>
      <c r="D63" s="390"/>
      <c r="E63" s="390"/>
      <c r="F63" s="390"/>
      <c r="G63" s="390"/>
      <c r="H63" s="390"/>
      <c r="I63" s="631">
        <f>$G$37*$G$28*$G$33*(1+I$47)</f>
        <v>351913.82259257796</v>
      </c>
      <c r="J63" s="631">
        <f t="shared" ref="J63:Q63" si="2">$G$37*$G$28*$G$33*(1+J$47)</f>
        <v>362193.30295108759</v>
      </c>
      <c r="K63" s="631">
        <f t="shared" si="2"/>
        <v>372811.98608383886</v>
      </c>
      <c r="L63" s="631">
        <f t="shared" si="2"/>
        <v>383750.70515266829</v>
      </c>
      <c r="M63" s="631">
        <f t="shared" si="2"/>
        <v>392475.44136012491</v>
      </c>
      <c r="N63" s="631">
        <f t="shared" si="2"/>
        <v>401399.48257102771</v>
      </c>
      <c r="O63" s="631">
        <f t="shared" si="2"/>
        <v>410527.40259188635</v>
      </c>
      <c r="P63" s="631">
        <f>$G$37*$G$28*$G$33*(1+P$47)</f>
        <v>419863.88065823744</v>
      </c>
      <c r="Q63" s="631">
        <f t="shared" si="2"/>
        <v>429788.99013083946</v>
      </c>
    </row>
    <row r="64" spans="1:18" s="267" customFormat="1" ht="30" x14ac:dyDescent="0.25">
      <c r="A64" s="632" t="s">
        <v>217</v>
      </c>
      <c r="B64" s="170" t="s">
        <v>35</v>
      </c>
      <c r="C64" s="321" t="s">
        <v>822</v>
      </c>
      <c r="D64" s="390"/>
      <c r="E64" s="390"/>
      <c r="F64" s="390"/>
      <c r="G64" s="390"/>
      <c r="H64" s="390"/>
      <c r="I64" s="631">
        <f>$I$37*$G$28*$G$33*(1+I$47)</f>
        <v>703827.64518515591</v>
      </c>
      <c r="J64" s="631">
        <f t="shared" ref="J64:Q64" si="3">$I$37*$G$28*$G$33*(1+J$47)</f>
        <v>724386.60590217519</v>
      </c>
      <c r="K64" s="631">
        <f t="shared" si="3"/>
        <v>745623.97216767771</v>
      </c>
      <c r="L64" s="631">
        <f t="shared" si="3"/>
        <v>767501.41030533658</v>
      </c>
      <c r="M64" s="631">
        <f t="shared" si="3"/>
        <v>784950.88272024982</v>
      </c>
      <c r="N64" s="631">
        <f t="shared" si="3"/>
        <v>802798.96514205541</v>
      </c>
      <c r="O64" s="631">
        <f t="shared" si="3"/>
        <v>821054.8051837727</v>
      </c>
      <c r="P64" s="631">
        <f t="shared" si="3"/>
        <v>839727.76131647488</v>
      </c>
      <c r="Q64" s="631">
        <f t="shared" si="3"/>
        <v>859577.98026167892</v>
      </c>
    </row>
    <row r="65" spans="1:18" s="267" customFormat="1" x14ac:dyDescent="0.25">
      <c r="A65" s="633" t="s">
        <v>218</v>
      </c>
      <c r="B65" s="170" t="s">
        <v>35</v>
      </c>
      <c r="C65" s="321" t="s">
        <v>822</v>
      </c>
      <c r="D65" s="390"/>
      <c r="E65" s="390"/>
      <c r="F65" s="390"/>
      <c r="G65" s="390"/>
      <c r="H65" s="390"/>
      <c r="I65" s="390"/>
      <c r="J65" s="631">
        <f t="shared" ref="J65:Q65" si="4">$G37*$G30*(1+J47)</f>
        <v>15053.753239862326</v>
      </c>
      <c r="K65" s="631">
        <f t="shared" si="4"/>
        <v>15495.0950159534</v>
      </c>
      <c r="L65" s="631">
        <f t="shared" si="4"/>
        <v>15949.73836877258</v>
      </c>
      <c r="M65" s="631">
        <f t="shared" si="4"/>
        <v>16312.362483795714</v>
      </c>
      <c r="N65" s="631">
        <f t="shared" si="4"/>
        <v>16683.270264797495</v>
      </c>
      <c r="O65" s="631">
        <f t="shared" si="4"/>
        <v>17062.6518117991</v>
      </c>
      <c r="P65" s="631">
        <f t="shared" si="4"/>
        <v>17450.701606743034</v>
      </c>
      <c r="Q65" s="631">
        <f t="shared" si="4"/>
        <v>17863.216547416436</v>
      </c>
    </row>
    <row r="66" spans="1:18" s="267" customFormat="1" x14ac:dyDescent="0.25">
      <c r="A66" s="630" t="s">
        <v>219</v>
      </c>
      <c r="B66" s="170" t="s">
        <v>35</v>
      </c>
      <c r="C66" s="321" t="s">
        <v>822</v>
      </c>
      <c r="D66" s="390"/>
      <c r="E66" s="390"/>
      <c r="F66" s="390"/>
      <c r="G66" s="390"/>
      <c r="H66" s="390"/>
      <c r="I66" s="390"/>
      <c r="J66" s="631">
        <f t="shared" ref="J66:Q66" si="5">J45*(1+J47)*$G29*$C24</f>
        <v>0</v>
      </c>
      <c r="K66" s="631">
        <f t="shared" si="5"/>
        <v>0</v>
      </c>
      <c r="L66" s="631">
        <f t="shared" si="5"/>
        <v>0</v>
      </c>
      <c r="M66" s="631">
        <f t="shared" si="5"/>
        <v>0</v>
      </c>
      <c r="N66" s="631">
        <f t="shared" si="5"/>
        <v>0</v>
      </c>
      <c r="O66" s="631">
        <f t="shared" si="5"/>
        <v>0</v>
      </c>
      <c r="P66" s="631">
        <f t="shared" si="5"/>
        <v>0</v>
      </c>
      <c r="Q66" s="631">
        <f t="shared" si="5"/>
        <v>0</v>
      </c>
    </row>
    <row r="67" spans="1:18" s="267" customFormat="1" x14ac:dyDescent="0.25">
      <c r="A67" s="170" t="s">
        <v>220</v>
      </c>
      <c r="B67" s="170" t="s">
        <v>35</v>
      </c>
      <c r="C67" s="321" t="s">
        <v>822</v>
      </c>
      <c r="D67" s="390"/>
      <c r="E67" s="390"/>
      <c r="F67" s="390"/>
      <c r="G67" s="390"/>
      <c r="H67" s="390"/>
      <c r="I67" s="390"/>
      <c r="J67" s="631">
        <f t="shared" ref="J67:Q67" si="6">$G37*(1+J47)*$G34</f>
        <v>21953.390141465894</v>
      </c>
      <c r="K67" s="631">
        <f t="shared" si="6"/>
        <v>22597.013564932044</v>
      </c>
      <c r="L67" s="631">
        <f t="shared" si="6"/>
        <v>23260.035121126679</v>
      </c>
      <c r="M67" s="631">
        <f t="shared" si="6"/>
        <v>23788.861955535416</v>
      </c>
      <c r="N67" s="631">
        <f t="shared" si="6"/>
        <v>24329.769136163013</v>
      </c>
      <c r="O67" s="631">
        <f t="shared" si="6"/>
        <v>24883.033892207019</v>
      </c>
      <c r="P67" s="631">
        <f t="shared" si="6"/>
        <v>25448.939843166929</v>
      </c>
      <c r="Q67" s="631">
        <f t="shared" si="6"/>
        <v>26050.52413164897</v>
      </c>
    </row>
    <row r="68" spans="1:18" s="269" customFormat="1" ht="6" customHeight="1" x14ac:dyDescent="0.25">
      <c r="A68" s="634"/>
      <c r="C68" s="635"/>
      <c r="D68" s="347"/>
      <c r="E68" s="347"/>
      <c r="F68" s="347"/>
      <c r="G68" s="347"/>
      <c r="H68" s="347"/>
      <c r="I68" s="347"/>
      <c r="J68" s="347"/>
      <c r="K68" s="347"/>
      <c r="L68" s="347"/>
      <c r="M68" s="347"/>
      <c r="N68" s="347"/>
      <c r="O68" s="347"/>
      <c r="P68" s="347"/>
      <c r="Q68" s="347"/>
    </row>
    <row r="69" spans="1:18" s="267" customFormat="1" x14ac:dyDescent="0.25">
      <c r="A69" s="170" t="s">
        <v>383</v>
      </c>
      <c r="B69" s="170" t="s">
        <v>35</v>
      </c>
      <c r="C69" s="321" t="s">
        <v>822</v>
      </c>
      <c r="D69" s="390"/>
      <c r="E69" s="390"/>
      <c r="F69" s="390"/>
      <c r="G69" s="390"/>
      <c r="H69" s="390"/>
      <c r="I69" s="390"/>
      <c r="J69" s="391">
        <f t="shared" ref="J69:R69" si="7">J46*$C24*$G32*(1+J47)</f>
        <v>935351.00934198871</v>
      </c>
      <c r="K69" s="391">
        <f t="shared" si="7"/>
        <v>962773.37166944158</v>
      </c>
      <c r="L69" s="391">
        <f t="shared" si="7"/>
        <v>991022.21514217637</v>
      </c>
      <c r="M69" s="391">
        <f t="shared" si="7"/>
        <v>1013553.5285358677</v>
      </c>
      <c r="N69" s="391">
        <f t="shared" si="7"/>
        <v>1036599.5398398223</v>
      </c>
      <c r="O69" s="391">
        <f t="shared" si="7"/>
        <v>1060172.0607427172</v>
      </c>
      <c r="P69" s="391">
        <f t="shared" si="7"/>
        <v>1084283.1751998507</v>
      </c>
      <c r="Q69" s="391">
        <f t="shared" si="7"/>
        <v>1109914.4088184405</v>
      </c>
      <c r="R69" s="391">
        <f t="shared" si="7"/>
        <v>0</v>
      </c>
    </row>
    <row r="70" spans="1:18" s="21" customFormat="1" ht="6" customHeight="1" x14ac:dyDescent="0.25">
      <c r="A70" s="171"/>
      <c r="C70" s="147"/>
      <c r="D70" s="389"/>
      <c r="E70" s="314"/>
      <c r="F70" s="314"/>
      <c r="G70" s="314"/>
      <c r="H70" s="314"/>
      <c r="I70" s="314"/>
      <c r="J70" s="314"/>
      <c r="K70" s="314"/>
      <c r="L70" s="314"/>
      <c r="M70" s="314"/>
      <c r="N70" s="314"/>
      <c r="O70" s="314"/>
      <c r="P70" s="314"/>
      <c r="Q70" s="314"/>
    </row>
    <row r="71" spans="1:18" s="21" customFormat="1" ht="6" customHeight="1" x14ac:dyDescent="0.25">
      <c r="A71" s="171"/>
      <c r="C71" s="147"/>
      <c r="D71" s="389"/>
      <c r="E71" s="314"/>
      <c r="F71" s="314"/>
      <c r="G71" s="314"/>
      <c r="H71" s="314"/>
      <c r="I71" s="314"/>
      <c r="J71" s="314"/>
      <c r="K71" s="314"/>
      <c r="L71" s="314"/>
      <c r="M71" s="314"/>
      <c r="N71" s="314"/>
      <c r="O71" s="314"/>
      <c r="P71" s="314"/>
      <c r="Q71" s="314"/>
    </row>
    <row r="72" spans="1:18" x14ac:dyDescent="0.25">
      <c r="A72" s="373" t="s">
        <v>854</v>
      </c>
      <c r="B72" s="169"/>
      <c r="C72" s="143"/>
      <c r="D72" s="71"/>
      <c r="E72" s="71"/>
      <c r="F72" s="71"/>
      <c r="G72" s="71"/>
      <c r="H72" s="71"/>
      <c r="I72" s="71"/>
      <c r="J72" s="71"/>
      <c r="K72" s="71"/>
      <c r="L72" s="71"/>
      <c r="M72" s="71"/>
      <c r="N72" s="71"/>
      <c r="O72" s="71"/>
      <c r="P72" s="71"/>
      <c r="Q72" s="71"/>
    </row>
    <row r="73" spans="1:18" x14ac:dyDescent="0.25">
      <c r="A73" s="220"/>
      <c r="B73" s="169"/>
      <c r="C73" s="143"/>
      <c r="D73" s="71"/>
      <c r="E73" s="71"/>
      <c r="F73" s="71"/>
      <c r="G73" s="71"/>
      <c r="H73" s="71"/>
      <c r="I73" s="71"/>
      <c r="J73" s="71"/>
      <c r="K73" s="71"/>
      <c r="L73" s="71"/>
      <c r="M73" s="71"/>
      <c r="N73" s="71"/>
      <c r="O73" s="71"/>
      <c r="P73" s="71"/>
      <c r="Q73" s="71"/>
    </row>
    <row r="74" spans="1:18" x14ac:dyDescent="0.25">
      <c r="A74" s="216" t="s">
        <v>216</v>
      </c>
      <c r="B74" s="169"/>
      <c r="C74" s="143"/>
      <c r="D74" s="71"/>
      <c r="E74" s="71"/>
      <c r="F74" s="71"/>
      <c r="G74" s="71"/>
      <c r="H74" s="71"/>
      <c r="I74" s="71"/>
      <c r="J74" s="71"/>
      <c r="K74" s="71"/>
      <c r="L74" s="71"/>
      <c r="M74" s="71"/>
      <c r="N74" s="71"/>
      <c r="O74" s="71"/>
      <c r="P74" s="71"/>
      <c r="Q74" s="71"/>
      <c r="R74" s="71"/>
    </row>
    <row r="75" spans="1:18" x14ac:dyDescent="0.25">
      <c r="A75" s="220" t="s">
        <v>714</v>
      </c>
      <c r="B75" s="169"/>
      <c r="C75" s="143"/>
      <c r="D75" s="71"/>
      <c r="E75" s="71"/>
      <c r="F75" s="71"/>
      <c r="G75" s="71"/>
      <c r="H75" s="71"/>
      <c r="I75" s="71"/>
      <c r="J75" s="71"/>
      <c r="K75" s="71"/>
      <c r="L75" s="71"/>
      <c r="M75" s="71"/>
      <c r="N75" s="71"/>
      <c r="O75" s="71"/>
      <c r="P75" s="71"/>
      <c r="Q75" s="71"/>
      <c r="R75" s="71"/>
    </row>
    <row r="76" spans="1:18" x14ac:dyDescent="0.25">
      <c r="A76" s="220" t="s">
        <v>385</v>
      </c>
      <c r="B76" s="169"/>
      <c r="C76" s="143"/>
      <c r="D76" s="71"/>
      <c r="E76" s="71"/>
      <c r="F76" s="71"/>
      <c r="G76" s="71"/>
      <c r="H76" s="71"/>
      <c r="I76" s="71"/>
      <c r="J76" s="71"/>
      <c r="K76" s="71"/>
      <c r="L76" s="71"/>
      <c r="M76" s="71"/>
      <c r="N76" s="71"/>
      <c r="O76" s="71"/>
      <c r="P76" s="71"/>
      <c r="Q76" s="71"/>
      <c r="R76" s="71"/>
    </row>
    <row r="77" spans="1:18" x14ac:dyDescent="0.25">
      <c r="A77" s="220" t="s">
        <v>226</v>
      </c>
      <c r="B77" s="169"/>
      <c r="C77" s="143"/>
      <c r="D77" s="71"/>
      <c r="E77" s="71"/>
      <c r="F77" s="71"/>
      <c r="G77" s="71"/>
      <c r="H77" s="71"/>
      <c r="I77" s="71"/>
      <c r="J77" s="71"/>
      <c r="K77" s="71"/>
      <c r="L77" s="71"/>
      <c r="M77" s="71"/>
      <c r="N77" s="71"/>
      <c r="O77" s="71"/>
      <c r="P77" s="71"/>
      <c r="Q77" s="71"/>
      <c r="R77" s="71"/>
    </row>
    <row r="78" spans="1:18" x14ac:dyDescent="0.25">
      <c r="A78" s="220" t="s">
        <v>384</v>
      </c>
      <c r="B78" s="169"/>
      <c r="C78" s="143"/>
      <c r="D78" s="71"/>
      <c r="E78" s="71"/>
      <c r="F78" s="71"/>
      <c r="G78" s="71"/>
      <c r="H78" s="71"/>
      <c r="I78" s="71"/>
      <c r="J78" s="71"/>
      <c r="K78" s="71"/>
      <c r="L78" s="71"/>
      <c r="M78" s="71"/>
      <c r="N78" s="71"/>
      <c r="O78" s="71"/>
      <c r="P78" s="71"/>
      <c r="Q78" s="71"/>
      <c r="R78" s="71"/>
    </row>
    <row r="79" spans="1:18" x14ac:dyDescent="0.25">
      <c r="A79" s="18" t="s">
        <v>432</v>
      </c>
      <c r="B79" s="169"/>
      <c r="C79" s="143"/>
      <c r="D79" s="71"/>
      <c r="E79" s="71"/>
      <c r="F79" s="71"/>
      <c r="G79" s="71"/>
      <c r="H79" s="71"/>
      <c r="I79" s="71"/>
      <c r="J79" s="71"/>
      <c r="K79" s="71"/>
      <c r="L79" s="71"/>
      <c r="M79" s="71"/>
      <c r="N79" s="71"/>
      <c r="O79" s="71"/>
      <c r="P79" s="71"/>
      <c r="Q79" s="71"/>
      <c r="R79" s="71"/>
    </row>
    <row r="80" spans="1:18" x14ac:dyDescent="0.25">
      <c r="A80" s="221"/>
    </row>
    <row r="81" spans="1:18" x14ac:dyDescent="0.25">
      <c r="A81" s="3" t="s">
        <v>227</v>
      </c>
    </row>
    <row r="82" spans="1:18" ht="15" customHeight="1" x14ac:dyDescent="0.25">
      <c r="A82" s="830" t="s">
        <v>907</v>
      </c>
      <c r="B82" s="830"/>
      <c r="C82" s="830"/>
      <c r="D82" s="182">
        <v>2019</v>
      </c>
      <c r="E82" s="182">
        <v>2020</v>
      </c>
      <c r="F82" s="182">
        <v>2021</v>
      </c>
      <c r="G82" s="182">
        <v>2022</v>
      </c>
      <c r="H82" s="182">
        <v>2023</v>
      </c>
      <c r="I82" s="182">
        <v>2024</v>
      </c>
      <c r="J82" s="182">
        <v>2025</v>
      </c>
      <c r="K82" s="182">
        <v>2026</v>
      </c>
      <c r="L82" s="182">
        <v>2027</v>
      </c>
      <c r="M82" s="182">
        <v>2028</v>
      </c>
      <c r="N82" s="182">
        <v>2029</v>
      </c>
      <c r="O82" s="182">
        <v>2030</v>
      </c>
      <c r="P82" s="181">
        <v>2031</v>
      </c>
      <c r="Q82" s="181">
        <v>2032</v>
      </c>
    </row>
    <row r="83" spans="1:18" x14ac:dyDescent="0.25">
      <c r="A83" s="848" t="s">
        <v>146</v>
      </c>
      <c r="B83" s="848"/>
      <c r="C83" s="848"/>
      <c r="D83" s="377">
        <f>SUM(D$52,D$54)</f>
        <v>0</v>
      </c>
      <c r="E83" s="377">
        <f t="shared" ref="E83:Q83" si="8">SUM(E52,E54)</f>
        <v>0</v>
      </c>
      <c r="F83" s="377">
        <f t="shared" si="8"/>
        <v>2211022.0819999003</v>
      </c>
      <c r="G83" s="377">
        <f t="shared" si="8"/>
        <v>2290228.5960638938</v>
      </c>
      <c r="H83" s="377">
        <f t="shared" si="8"/>
        <v>2374660.1884041871</v>
      </c>
      <c r="I83" s="377">
        <f t="shared" si="8"/>
        <v>2464421.0116913598</v>
      </c>
      <c r="J83" s="377">
        <f t="shared" si="8"/>
        <v>15940460.326777507</v>
      </c>
      <c r="K83" s="377">
        <f t="shared" si="8"/>
        <v>16478096.112154298</v>
      </c>
      <c r="L83" s="377">
        <f t="shared" si="8"/>
        <v>16948268.977993339</v>
      </c>
      <c r="M83" s="377">
        <f t="shared" si="8"/>
        <v>17342882.623428401</v>
      </c>
      <c r="N83" s="377">
        <f t="shared" si="8"/>
        <v>17750944.87577343</v>
      </c>
      <c r="O83" s="377">
        <f t="shared" si="8"/>
        <v>18172541.473121699</v>
      </c>
      <c r="P83" s="377">
        <f t="shared" si="8"/>
        <v>18607815.371109515</v>
      </c>
      <c r="Q83" s="377">
        <f t="shared" si="8"/>
        <v>19122460.337041523</v>
      </c>
      <c r="R83" s="250">
        <f>SUM(D83:Q83)</f>
        <v>149703801.97555906</v>
      </c>
    </row>
    <row r="84" spans="1:18" s="267" customFormat="1" ht="15.75" thickBot="1" x14ac:dyDescent="0.3">
      <c r="A84" s="889" t="s">
        <v>145</v>
      </c>
      <c r="B84" s="889"/>
      <c r="C84" s="889"/>
      <c r="D84" s="639">
        <f t="shared" ref="D84:Q84" si="9">SUM(D$63:D$67,D69,D64)</f>
        <v>0</v>
      </c>
      <c r="E84" s="639">
        <f t="shared" si="9"/>
        <v>0</v>
      </c>
      <c r="F84" s="639">
        <f t="shared" si="9"/>
        <v>0</v>
      </c>
      <c r="G84" s="639">
        <f t="shared" si="9"/>
        <v>0</v>
      </c>
      <c r="H84" s="639">
        <f t="shared" si="9"/>
        <v>0</v>
      </c>
      <c r="I84" s="639">
        <f t="shared" si="9"/>
        <v>1759569.11296289</v>
      </c>
      <c r="J84" s="639">
        <f t="shared" si="9"/>
        <v>2783324.6674787551</v>
      </c>
      <c r="K84" s="639">
        <f t="shared" si="9"/>
        <v>2864925.410669521</v>
      </c>
      <c r="L84" s="639">
        <f t="shared" si="9"/>
        <v>2948985.5143954172</v>
      </c>
      <c r="M84" s="639">
        <f t="shared" si="9"/>
        <v>3016031.9597758232</v>
      </c>
      <c r="N84" s="639">
        <f t="shared" si="9"/>
        <v>3084609.9920959212</v>
      </c>
      <c r="O84" s="639">
        <f t="shared" si="9"/>
        <v>3154754.759406155</v>
      </c>
      <c r="P84" s="639">
        <f t="shared" si="9"/>
        <v>3226502.2199409478</v>
      </c>
      <c r="Q84" s="639">
        <f t="shared" si="9"/>
        <v>3302773.1001517032</v>
      </c>
      <c r="R84" s="538"/>
    </row>
    <row r="85" spans="1:18" ht="15.75" thickTop="1" x14ac:dyDescent="0.25">
      <c r="A85" s="888" t="s">
        <v>75</v>
      </c>
      <c r="B85" s="888"/>
      <c r="C85" s="888"/>
      <c r="D85" s="379">
        <f>SUM(D83:D84)</f>
        <v>0</v>
      </c>
      <c r="E85" s="379">
        <f t="shared" ref="E85:Q85" si="10">SUM(E83:E84)</f>
        <v>0</v>
      </c>
      <c r="F85" s="379">
        <f t="shared" si="10"/>
        <v>2211022.0819999003</v>
      </c>
      <c r="G85" s="379">
        <f t="shared" si="10"/>
        <v>2290228.5960638938</v>
      </c>
      <c r="H85" s="379">
        <f t="shared" si="10"/>
        <v>2374660.1884041871</v>
      </c>
      <c r="I85" s="379">
        <f t="shared" si="10"/>
        <v>4223990.1246542502</v>
      </c>
      <c r="J85" s="379">
        <f t="shared" si="10"/>
        <v>18723784.994256262</v>
      </c>
      <c r="K85" s="379">
        <f t="shared" si="10"/>
        <v>19343021.522823818</v>
      </c>
      <c r="L85" s="379">
        <f t="shared" si="10"/>
        <v>19897254.492388755</v>
      </c>
      <c r="M85" s="379">
        <f t="shared" si="10"/>
        <v>20358914.583204225</v>
      </c>
      <c r="N85" s="379">
        <f t="shared" si="10"/>
        <v>20835554.867869351</v>
      </c>
      <c r="O85" s="379">
        <f t="shared" si="10"/>
        <v>21327296.232527852</v>
      </c>
      <c r="P85" s="379">
        <f t="shared" si="10"/>
        <v>21834317.591050465</v>
      </c>
      <c r="Q85" s="379">
        <f t="shared" si="10"/>
        <v>22425233.437193226</v>
      </c>
    </row>
    <row r="87" spans="1:18" ht="15" customHeight="1" x14ac:dyDescent="0.25">
      <c r="A87" s="830" t="s">
        <v>299</v>
      </c>
      <c r="B87" s="830"/>
      <c r="C87" s="830"/>
      <c r="D87" s="252">
        <v>2019</v>
      </c>
      <c r="E87" s="252">
        <v>2020</v>
      </c>
      <c r="F87" s="252">
        <v>2021</v>
      </c>
      <c r="G87" s="252">
        <v>2022</v>
      </c>
      <c r="H87" s="252">
        <v>2023</v>
      </c>
      <c r="I87" s="252">
        <v>2024</v>
      </c>
      <c r="J87" s="252">
        <v>2025</v>
      </c>
      <c r="K87" s="252">
        <v>2026</v>
      </c>
      <c r="L87" s="252">
        <v>2027</v>
      </c>
      <c r="M87" s="252">
        <v>2028</v>
      </c>
      <c r="N87" s="252">
        <v>2029</v>
      </c>
      <c r="O87" s="252">
        <v>2030</v>
      </c>
      <c r="P87" s="181">
        <v>2031</v>
      </c>
      <c r="Q87" s="181">
        <v>2032</v>
      </c>
    </row>
    <row r="88" spans="1:18" x14ac:dyDescent="0.25">
      <c r="A88" s="848" t="s">
        <v>146</v>
      </c>
      <c r="B88" s="848"/>
      <c r="C88" s="848"/>
      <c r="D88" s="377">
        <f>D$52</f>
        <v>0</v>
      </c>
      <c r="E88" s="377">
        <f>E$52</f>
        <v>0</v>
      </c>
      <c r="F88" s="377">
        <f t="shared" ref="F88:M88" si="11">F$52</f>
        <v>2211022.0819999003</v>
      </c>
      <c r="G88" s="377">
        <f t="shared" si="11"/>
        <v>2290228.5960638938</v>
      </c>
      <c r="H88" s="377">
        <f t="shared" si="11"/>
        <v>2374660.1884041871</v>
      </c>
      <c r="I88" s="377">
        <f t="shared" si="11"/>
        <v>2464421.0116913598</v>
      </c>
      <c r="J88" s="377">
        <f t="shared" si="11"/>
        <v>2559643.1159419548</v>
      </c>
      <c r="K88" s="377">
        <f t="shared" si="11"/>
        <v>2704983.8012673934</v>
      </c>
      <c r="L88" s="377">
        <f t="shared" si="11"/>
        <v>2771038.2055332926</v>
      </c>
      <c r="M88" s="377">
        <f t="shared" si="11"/>
        <v>2843326.4533049404</v>
      </c>
      <c r="N88" s="377">
        <f t="shared" ref="N88:Q88" si="12">N$52</f>
        <v>2921700.2126488159</v>
      </c>
      <c r="O88" s="377">
        <f t="shared" si="12"/>
        <v>3006076.2476093513</v>
      </c>
      <c r="P88" s="377">
        <f t="shared" si="12"/>
        <v>3096424.6448192312</v>
      </c>
      <c r="Q88" s="377">
        <f t="shared" si="12"/>
        <v>3244397.7960922145</v>
      </c>
    </row>
    <row r="89" spans="1:18" ht="15.75" thickBot="1" x14ac:dyDescent="0.3">
      <c r="A89" s="900" t="s">
        <v>145</v>
      </c>
      <c r="B89" s="900"/>
      <c r="C89" s="900"/>
      <c r="D89" s="507"/>
      <c r="E89" s="507"/>
      <c r="F89" s="507"/>
      <c r="G89" s="507"/>
      <c r="H89" s="507"/>
      <c r="I89" s="507"/>
      <c r="J89" s="507"/>
      <c r="K89" s="507"/>
      <c r="L89" s="507"/>
      <c r="M89" s="507"/>
      <c r="N89" s="507"/>
      <c r="O89" s="507"/>
      <c r="P89" s="507"/>
      <c r="Q89" s="507"/>
    </row>
    <row r="90" spans="1:18" ht="15.75" thickTop="1" x14ac:dyDescent="0.25">
      <c r="A90" s="888" t="s">
        <v>75</v>
      </c>
      <c r="B90" s="888"/>
      <c r="C90" s="888"/>
      <c r="D90" s="379">
        <f>SUM(D88:D89)</f>
        <v>0</v>
      </c>
      <c r="E90" s="379">
        <f t="shared" ref="E90" si="13">SUM(E88:E89)</f>
        <v>0</v>
      </c>
      <c r="F90" s="379">
        <f t="shared" ref="F90" si="14">SUM(F88:F89)</f>
        <v>2211022.0819999003</v>
      </c>
      <c r="G90" s="379">
        <f t="shared" ref="G90" si="15">SUM(G88:G89)</f>
        <v>2290228.5960638938</v>
      </c>
      <c r="H90" s="379">
        <f t="shared" ref="H90" si="16">SUM(H88:H89)</f>
        <v>2374660.1884041871</v>
      </c>
      <c r="I90" s="379">
        <f t="shared" ref="I90" si="17">SUM(I88:I89)</f>
        <v>2464421.0116913598</v>
      </c>
      <c r="J90" s="379">
        <f t="shared" ref="J90" si="18">SUM(J88:J89)</f>
        <v>2559643.1159419548</v>
      </c>
      <c r="K90" s="379">
        <f t="shared" ref="K90" si="19">SUM(K88:K89)</f>
        <v>2704983.8012673934</v>
      </c>
      <c r="L90" s="379">
        <f t="shared" ref="L90" si="20">SUM(L88:L89)</f>
        <v>2771038.2055332926</v>
      </c>
      <c r="M90" s="379">
        <f t="shared" ref="M90" si="21">SUM(M88:M89)</f>
        <v>2843326.4533049404</v>
      </c>
      <c r="N90" s="379">
        <f t="shared" ref="N90" si="22">SUM(N88:N89)</f>
        <v>2921700.2126488159</v>
      </c>
      <c r="O90" s="379">
        <f t="shared" ref="O90" si="23">SUM(O88:O89)</f>
        <v>3006076.2476093513</v>
      </c>
      <c r="P90" s="379">
        <f t="shared" ref="P90" si="24">SUM(P88:P89)</f>
        <v>3096424.6448192312</v>
      </c>
      <c r="Q90" s="379">
        <f t="shared" ref="Q90" si="25">SUM(Q88:Q89)</f>
        <v>3244397.7960922145</v>
      </c>
    </row>
    <row r="92" spans="1:18" x14ac:dyDescent="0.25">
      <c r="A92" s="830" t="s">
        <v>905</v>
      </c>
      <c r="B92" s="830"/>
      <c r="C92" s="830"/>
      <c r="D92" s="182">
        <v>2019</v>
      </c>
      <c r="E92" s="182">
        <v>2020</v>
      </c>
      <c r="F92" s="182">
        <v>2021</v>
      </c>
      <c r="G92" s="182">
        <v>2022</v>
      </c>
      <c r="H92" s="182">
        <v>2023</v>
      </c>
      <c r="I92" s="182">
        <v>2024</v>
      </c>
      <c r="J92" s="182">
        <v>2025</v>
      </c>
      <c r="K92" s="182">
        <v>2026</v>
      </c>
      <c r="L92" s="182">
        <v>2027</v>
      </c>
      <c r="M92" s="182">
        <v>2028</v>
      </c>
      <c r="N92" s="182">
        <v>2029</v>
      </c>
      <c r="O92" s="182">
        <v>2030</v>
      </c>
      <c r="P92" s="181">
        <v>2031</v>
      </c>
      <c r="Q92" s="181">
        <v>2032</v>
      </c>
    </row>
    <row r="93" spans="1:18" x14ac:dyDescent="0.25">
      <c r="A93" s="848" t="s">
        <v>81</v>
      </c>
      <c r="B93" s="848"/>
      <c r="C93" s="848"/>
      <c r="D93" s="377">
        <f t="shared" ref="D93:Q93" si="26">SUM(D52)</f>
        <v>0</v>
      </c>
      <c r="E93" s="377">
        <f t="shared" si="26"/>
        <v>0</v>
      </c>
      <c r="F93" s="377">
        <f t="shared" si="26"/>
        <v>2211022.0819999003</v>
      </c>
      <c r="G93" s="377">
        <f t="shared" si="26"/>
        <v>2290228.5960638938</v>
      </c>
      <c r="H93" s="377">
        <f t="shared" si="26"/>
        <v>2374660.1884041871</v>
      </c>
      <c r="I93" s="377">
        <f t="shared" si="26"/>
        <v>2464421.0116913598</v>
      </c>
      <c r="J93" s="377">
        <f t="shared" si="26"/>
        <v>2559643.1159419548</v>
      </c>
      <c r="K93" s="377">
        <f t="shared" si="26"/>
        <v>2704983.8012673934</v>
      </c>
      <c r="L93" s="377">
        <f t="shared" si="26"/>
        <v>2771038.2055332926</v>
      </c>
      <c r="M93" s="377">
        <f t="shared" si="26"/>
        <v>2843326.4533049404</v>
      </c>
      <c r="N93" s="377">
        <f t="shared" si="26"/>
        <v>2921700.2126488159</v>
      </c>
      <c r="O93" s="377">
        <f t="shared" si="26"/>
        <v>3006076.2476093513</v>
      </c>
      <c r="P93" s="377">
        <f t="shared" si="26"/>
        <v>3096424.6448192312</v>
      </c>
      <c r="Q93" s="377">
        <f t="shared" si="26"/>
        <v>3244397.7960922145</v>
      </c>
      <c r="R93" s="250"/>
    </row>
    <row r="94" spans="1:18" s="267" customFormat="1" ht="15.75" thickBot="1" x14ac:dyDescent="0.3">
      <c r="A94" s="889" t="s">
        <v>822</v>
      </c>
      <c r="B94" s="889"/>
      <c r="C94" s="889"/>
      <c r="D94" s="639">
        <f t="shared" ref="D94:Q94" si="27">SUM(D54)+SUM(D63:D67,D69)</f>
        <v>0</v>
      </c>
      <c r="E94" s="639">
        <f t="shared" si="27"/>
        <v>0</v>
      </c>
      <c r="F94" s="639">
        <f t="shared" si="27"/>
        <v>0</v>
      </c>
      <c r="G94" s="639">
        <f t="shared" si="27"/>
        <v>0</v>
      </c>
      <c r="H94" s="639">
        <f t="shared" si="27"/>
        <v>0</v>
      </c>
      <c r="I94" s="639">
        <f t="shared" si="27"/>
        <v>1055741.4677777339</v>
      </c>
      <c r="J94" s="639">
        <f t="shared" si="27"/>
        <v>15439755.272412132</v>
      </c>
      <c r="K94" s="639">
        <f t="shared" si="27"/>
        <v>15892413.749388747</v>
      </c>
      <c r="L94" s="639">
        <f t="shared" si="27"/>
        <v>16358714.876550127</v>
      </c>
      <c r="M94" s="639">
        <f t="shared" si="27"/>
        <v>16730637.247179035</v>
      </c>
      <c r="N94" s="639">
        <f t="shared" si="27"/>
        <v>17111055.690078482</v>
      </c>
      <c r="O94" s="639">
        <f t="shared" si="27"/>
        <v>17500165.179734729</v>
      </c>
      <c r="P94" s="639">
        <f t="shared" si="27"/>
        <v>17898165.184914757</v>
      </c>
      <c r="Q94" s="639">
        <f t="shared" si="27"/>
        <v>18321257.66083933</v>
      </c>
    </row>
    <row r="95" spans="1:18" ht="15.75" thickTop="1" x14ac:dyDescent="0.25">
      <c r="A95" s="888" t="s">
        <v>75</v>
      </c>
      <c r="B95" s="888"/>
      <c r="C95" s="888"/>
      <c r="D95" s="379">
        <f t="shared" ref="D95:Q95" si="28">SUM(D93:D94)</f>
        <v>0</v>
      </c>
      <c r="E95" s="379">
        <f t="shared" si="28"/>
        <v>0</v>
      </c>
      <c r="F95" s="379">
        <f t="shared" si="28"/>
        <v>2211022.0819999003</v>
      </c>
      <c r="G95" s="379">
        <f t="shared" si="28"/>
        <v>2290228.5960638938</v>
      </c>
      <c r="H95" s="379">
        <f t="shared" si="28"/>
        <v>2374660.1884041871</v>
      </c>
      <c r="I95" s="379">
        <f t="shared" si="28"/>
        <v>3520162.4794690935</v>
      </c>
      <c r="J95" s="379">
        <f t="shared" si="28"/>
        <v>17999398.388354085</v>
      </c>
      <c r="K95" s="379">
        <f t="shared" si="28"/>
        <v>18597397.55065614</v>
      </c>
      <c r="L95" s="379">
        <f t="shared" si="28"/>
        <v>19129753.082083419</v>
      </c>
      <c r="M95" s="379">
        <f t="shared" si="28"/>
        <v>19573963.700483974</v>
      </c>
      <c r="N95" s="379">
        <f t="shared" si="28"/>
        <v>20032755.902727298</v>
      </c>
      <c r="O95" s="379">
        <f t="shared" si="28"/>
        <v>20506241.42734408</v>
      </c>
      <c r="P95" s="379">
        <f t="shared" si="28"/>
        <v>20994589.829733986</v>
      </c>
      <c r="Q95" s="379">
        <f t="shared" si="28"/>
        <v>21565655.456931546</v>
      </c>
    </row>
    <row r="96" spans="1:18" x14ac:dyDescent="0.25">
      <c r="A96" s="373" t="s">
        <v>854</v>
      </c>
      <c r="B96" s="125"/>
      <c r="C96" s="125"/>
    </row>
    <row r="97" spans="17:17" x14ac:dyDescent="0.25">
      <c r="Q97" s="250"/>
    </row>
  </sheetData>
  <sheetProtection algorithmName="SHA-512" hashValue="qsrZNE/n5e/WO7MbkqF0PyKgZjwP51a+DRv5hnWGBxV9u4U8P1owDmQkVJFmwMon3aYaH74JU+21qlqsX5Qe4A==" saltValue="Qw2/T1XHX+zj+vANhIxj5A==" spinCount="100000" sheet="1" objects="1" scenarios="1"/>
  <mergeCells count="44">
    <mergeCell ref="C6:D6"/>
    <mergeCell ref="C7:D7"/>
    <mergeCell ref="A7:B7"/>
    <mergeCell ref="B1:D1"/>
    <mergeCell ref="B2:D2"/>
    <mergeCell ref="B3:D3"/>
    <mergeCell ref="A6:B6"/>
    <mergeCell ref="A95:C95"/>
    <mergeCell ref="A94:C94"/>
    <mergeCell ref="A89:C89"/>
    <mergeCell ref="A90:C90"/>
    <mergeCell ref="A93:C93"/>
    <mergeCell ref="B9:C9"/>
    <mergeCell ref="E27:F27"/>
    <mergeCell ref="E28:F28"/>
    <mergeCell ref="A29:D29"/>
    <mergeCell ref="A30:D30"/>
    <mergeCell ref="A27:D27"/>
    <mergeCell ref="A28:D28"/>
    <mergeCell ref="E34:F34"/>
    <mergeCell ref="E29:F29"/>
    <mergeCell ref="E30:F30"/>
    <mergeCell ref="E31:F31"/>
    <mergeCell ref="E32:F32"/>
    <mergeCell ref="E33:F33"/>
    <mergeCell ref="A31:D31"/>
    <mergeCell ref="A32:D32"/>
    <mergeCell ref="A33:D33"/>
    <mergeCell ref="A34:D34"/>
    <mergeCell ref="A42:B42"/>
    <mergeCell ref="A47:B47"/>
    <mergeCell ref="A45:B45"/>
    <mergeCell ref="B36:E36"/>
    <mergeCell ref="B37:E37"/>
    <mergeCell ref="A46:B46"/>
    <mergeCell ref="A39:B39"/>
    <mergeCell ref="A41:B41"/>
    <mergeCell ref="A85:C85"/>
    <mergeCell ref="A92:C92"/>
    <mergeCell ref="A87:C87"/>
    <mergeCell ref="A88:C88"/>
    <mergeCell ref="A82:C82"/>
    <mergeCell ref="A83:C83"/>
    <mergeCell ref="A84:C84"/>
  </mergeCells>
  <pageMargins left="0.7" right="0.7" top="0.75" bottom="0.75" header="0.3" footer="0.3"/>
  <pageSetup paperSize="5" scale="96" pageOrder="overThenDown" orientation="landscape" r:id="rId1"/>
  <rowBreaks count="3" manualBreakCount="3">
    <brk id="26" max="16383" man="1"/>
    <brk id="60" max="16383" man="1"/>
    <brk id="80" max="1638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theme="9" tint="0.59999389629810485"/>
  </sheetPr>
  <dimension ref="A1:T109"/>
  <sheetViews>
    <sheetView zoomScaleNormal="100" zoomScaleSheetLayoutView="80" workbookViewId="0">
      <selection activeCell="C20" sqref="C20:D20"/>
    </sheetView>
  </sheetViews>
  <sheetFormatPr defaultColWidth="9.140625" defaultRowHeight="15" x14ac:dyDescent="0.25"/>
  <cols>
    <col min="1" max="1" width="43.42578125" style="1" customWidth="1"/>
    <col min="2" max="2" width="27.7109375" style="1" customWidth="1"/>
    <col min="3" max="3" width="14.85546875" style="1" customWidth="1"/>
    <col min="4" max="10" width="12.42578125" style="1" customWidth="1"/>
    <col min="11" max="17" width="13.7109375" style="1" customWidth="1"/>
    <col min="18" max="18" width="13.7109375" style="1" hidden="1" customWidth="1"/>
    <col min="19" max="19" width="13.7109375" style="1" bestFit="1" customWidth="1"/>
    <col min="20" max="20" width="16" style="1" customWidth="1"/>
    <col min="21" max="16384" width="9.140625" style="1"/>
  </cols>
  <sheetData>
    <row r="1" spans="1:6" ht="18.75" x14ac:dyDescent="0.3">
      <c r="A1" s="2" t="s">
        <v>29</v>
      </c>
      <c r="B1" s="754" t="s">
        <v>386</v>
      </c>
      <c r="C1" s="754"/>
      <c r="D1" s="754"/>
    </row>
    <row r="2" spans="1:6" x14ac:dyDescent="0.25">
      <c r="A2" s="3" t="s">
        <v>105</v>
      </c>
      <c r="B2" s="818" t="s">
        <v>379</v>
      </c>
      <c r="C2" s="818"/>
      <c r="D2" s="818"/>
    </row>
    <row r="3" spans="1:6" x14ac:dyDescent="0.25">
      <c r="B3" s="756" t="s">
        <v>375</v>
      </c>
      <c r="C3" s="756"/>
      <c r="D3" s="756"/>
    </row>
    <row r="5" spans="1:6" ht="15.75" x14ac:dyDescent="0.25">
      <c r="A5" s="15" t="s">
        <v>262</v>
      </c>
    </row>
    <row r="6" spans="1:6" ht="15.75" x14ac:dyDescent="0.25">
      <c r="A6" s="184" t="s">
        <v>224</v>
      </c>
      <c r="B6" s="494" t="s">
        <v>112</v>
      </c>
      <c r="C6" s="494" t="s">
        <v>25</v>
      </c>
      <c r="D6" s="11"/>
      <c r="E6" s="11"/>
    </row>
    <row r="7" spans="1:6" x14ac:dyDescent="0.25">
      <c r="A7" s="164" t="s">
        <v>225</v>
      </c>
      <c r="B7" s="354" t="s">
        <v>188</v>
      </c>
      <c r="C7" s="165">
        <f>'Electricity &amp; Fuel'!C12</f>
        <v>40.700000000000003</v>
      </c>
      <c r="D7" s="11"/>
      <c r="E7" s="11"/>
    </row>
    <row r="8" spans="1:6" x14ac:dyDescent="0.25">
      <c r="A8" s="256"/>
      <c r="B8" s="14"/>
      <c r="C8" s="143"/>
      <c r="D8" s="14"/>
      <c r="E8" s="11"/>
    </row>
    <row r="9" spans="1:6" ht="47.25" customHeight="1" x14ac:dyDescent="0.25">
      <c r="A9" s="923" t="s">
        <v>113</v>
      </c>
      <c r="B9" s="924"/>
      <c r="C9" s="820" t="s">
        <v>112</v>
      </c>
      <c r="D9" s="820"/>
      <c r="E9" s="495" t="s">
        <v>638</v>
      </c>
      <c r="F9" s="495" t="s">
        <v>639</v>
      </c>
    </row>
    <row r="10" spans="1:6" ht="15" customHeight="1" x14ac:dyDescent="0.25">
      <c r="A10" s="914" t="s">
        <v>635</v>
      </c>
      <c r="B10" s="920"/>
      <c r="C10" s="818" t="str">
        <f>'Cost Inputs'!B19</f>
        <v>Cost per berth ($)</v>
      </c>
      <c r="D10" s="818"/>
      <c r="E10" s="382">
        <f>'Cost Inputs'!D19</f>
        <v>6517857.1428571437</v>
      </c>
      <c r="F10" s="382">
        <f>'Cost Inputs'!D37</f>
        <v>6517857.1428571437</v>
      </c>
    </row>
    <row r="11" spans="1:6" ht="30" customHeight="1" x14ac:dyDescent="0.25">
      <c r="A11" s="926" t="s">
        <v>613</v>
      </c>
      <c r="B11" s="920"/>
      <c r="C11" s="818" t="str">
        <f>'Cost Inputs'!B20</f>
        <v>Cost per berth ($)</v>
      </c>
      <c r="D11" s="818"/>
      <c r="E11" s="382">
        <f>'Cost Inputs'!D20</f>
        <v>7000000</v>
      </c>
      <c r="F11" s="382">
        <f>'Cost Inputs'!D38</f>
        <v>7000000</v>
      </c>
    </row>
    <row r="12" spans="1:6" x14ac:dyDescent="0.25">
      <c r="A12" s="926" t="s">
        <v>614</v>
      </c>
      <c r="B12" s="920"/>
      <c r="C12" s="818" t="str">
        <f>'Cost Inputs'!B21</f>
        <v>Cost per berth ($)</v>
      </c>
      <c r="D12" s="818"/>
      <c r="E12" s="382">
        <f>'Cost Inputs'!D21</f>
        <v>5000000</v>
      </c>
      <c r="F12" s="382">
        <f>'Cost Inputs'!D39</f>
        <v>15000000</v>
      </c>
    </row>
    <row r="13" spans="1:6" ht="15" customHeight="1" x14ac:dyDescent="0.25">
      <c r="A13" s="927" t="s">
        <v>679</v>
      </c>
      <c r="B13" s="920"/>
      <c r="C13" s="818" t="str">
        <f>'Cost Inputs'!B22</f>
        <v>Cost per berth ($)</v>
      </c>
      <c r="D13" s="818"/>
      <c r="E13" s="382">
        <f>'Cost Inputs'!D22</f>
        <v>4500000</v>
      </c>
      <c r="F13" s="382">
        <f>'Cost Inputs'!D40</f>
        <v>4500000</v>
      </c>
    </row>
    <row r="14" spans="1:6" ht="15" customHeight="1" x14ac:dyDescent="0.25">
      <c r="A14" s="914" t="s">
        <v>623</v>
      </c>
      <c r="B14" s="920"/>
      <c r="C14" s="818" t="str">
        <f>'Cost Inputs'!B23</f>
        <v>Cost per berth ($)</v>
      </c>
      <c r="D14" s="818"/>
      <c r="E14" s="382">
        <f>'Cost Inputs'!D25</f>
        <v>7000000</v>
      </c>
      <c r="F14" s="382">
        <f>'Cost Inputs'!D43</f>
        <v>14000000</v>
      </c>
    </row>
    <row r="15" spans="1:6" x14ac:dyDescent="0.25">
      <c r="A15" s="926" t="s">
        <v>619</v>
      </c>
      <c r="B15" s="920"/>
      <c r="C15" s="818" t="str">
        <f>'Cost Inputs'!B28</f>
        <v>Cost per berth ($)</v>
      </c>
      <c r="D15" s="818"/>
      <c r="E15" s="382">
        <f>'Cost Inputs'!D28</f>
        <v>10000000</v>
      </c>
      <c r="F15" s="382">
        <f>'Cost Inputs'!D46</f>
        <v>20000000</v>
      </c>
    </row>
    <row r="16" spans="1:6" x14ac:dyDescent="0.25">
      <c r="A16" s="926" t="s">
        <v>620</v>
      </c>
      <c r="B16" s="920"/>
      <c r="C16" s="818" t="str">
        <f>'Cost Inputs'!B29</f>
        <v>Cost per berth ($)</v>
      </c>
      <c r="D16" s="818"/>
      <c r="E16" s="382">
        <f>'Cost Inputs'!D29</f>
        <v>0</v>
      </c>
      <c r="F16" s="382">
        <f>'Cost Inputs'!D47</f>
        <v>0</v>
      </c>
    </row>
    <row r="17" spans="1:8" x14ac:dyDescent="0.25">
      <c r="A17" s="914" t="s">
        <v>26</v>
      </c>
      <c r="B17" s="920"/>
      <c r="C17" s="904" t="str">
        <f>'Cost Inputs'!B30</f>
        <v>Annual cost per berth ($)</v>
      </c>
      <c r="D17" s="905"/>
      <c r="E17" s="382">
        <f>'Cost Inputs'!D30</f>
        <v>1000000</v>
      </c>
      <c r="F17" s="382">
        <f>'Cost Inputs'!D48</f>
        <v>1000000</v>
      </c>
    </row>
    <row r="18" spans="1:8" x14ac:dyDescent="0.25">
      <c r="A18" s="914" t="s">
        <v>463</v>
      </c>
      <c r="B18" s="920"/>
      <c r="C18" s="904" t="str">
        <f>'Cost Inputs'!B32</f>
        <v>Annual cost per berth ($)</v>
      </c>
      <c r="D18" s="905"/>
      <c r="E18" s="382">
        <f>'Cost Inputs'!D32</f>
        <v>162866.79439268788</v>
      </c>
      <c r="F18" s="382">
        <f>'Cost Inputs'!D50</f>
        <v>232145.48665233966</v>
      </c>
    </row>
    <row r="19" spans="1:8" x14ac:dyDescent="0.25">
      <c r="A19" s="914" t="s">
        <v>465</v>
      </c>
      <c r="B19" s="920"/>
      <c r="C19" s="904" t="str">
        <f>'Cost Inputs'!B33</f>
        <v>Hourly cost per visit ($)</v>
      </c>
      <c r="D19" s="905"/>
      <c r="E19" s="382">
        <f>'Cost Inputs'!D33</f>
        <v>200</v>
      </c>
      <c r="F19" s="382">
        <f>'Cost Inputs'!D51</f>
        <v>500</v>
      </c>
    </row>
    <row r="20" spans="1:8" x14ac:dyDescent="0.25">
      <c r="A20" s="914" t="s">
        <v>659</v>
      </c>
      <c r="B20" s="920"/>
      <c r="C20" s="904" t="str">
        <f>'Cost Inputs'!B34</f>
        <v>Total cost per visit ($)</v>
      </c>
      <c r="D20" s="905"/>
      <c r="E20" s="382">
        <f>'Cost Inputs'!D34</f>
        <v>0</v>
      </c>
      <c r="F20" s="382">
        <f>'Cost Inputs'!D52</f>
        <v>0</v>
      </c>
    </row>
    <row r="21" spans="1:8" x14ac:dyDescent="0.25">
      <c r="A21" s="256"/>
      <c r="B21" s="14"/>
      <c r="C21" s="143"/>
      <c r="D21" s="14"/>
      <c r="E21" s="11"/>
    </row>
    <row r="22" spans="1:8" ht="15.75" x14ac:dyDescent="0.25">
      <c r="A22" s="923" t="s">
        <v>615</v>
      </c>
      <c r="B22" s="924"/>
      <c r="C22" s="820" t="s">
        <v>112</v>
      </c>
      <c r="D22" s="820"/>
      <c r="E22" s="494" t="s">
        <v>25</v>
      </c>
    </row>
    <row r="23" spans="1:8" x14ac:dyDescent="0.25">
      <c r="A23" s="914" t="s">
        <v>462</v>
      </c>
      <c r="B23" s="920"/>
      <c r="C23" s="921" t="s">
        <v>210</v>
      </c>
      <c r="D23" s="922"/>
      <c r="E23" s="382">
        <f>'Cost Inputs'!D76</f>
        <v>12000</v>
      </c>
    </row>
    <row r="24" spans="1:8" x14ac:dyDescent="0.25">
      <c r="A24" s="914" t="s">
        <v>429</v>
      </c>
      <c r="B24" s="920"/>
      <c r="C24" s="818" t="str">
        <f>'Cost Inputs'!B79</f>
        <v>fraction</v>
      </c>
      <c r="D24" s="818"/>
      <c r="E24" s="384">
        <f>'Cost Inputs'!D79</f>
        <v>8.0199999999999994E-2</v>
      </c>
    </row>
    <row r="25" spans="1:8" x14ac:dyDescent="0.25">
      <c r="A25" s="256"/>
      <c r="B25" s="14"/>
      <c r="C25" s="143"/>
      <c r="D25" s="14"/>
      <c r="E25" s="11"/>
    </row>
    <row r="26" spans="1:8" ht="31.7" customHeight="1" x14ac:dyDescent="0.25">
      <c r="A26" s="881" t="s">
        <v>628</v>
      </c>
      <c r="B26" s="881"/>
      <c r="C26" s="497" t="s">
        <v>25</v>
      </c>
      <c r="D26" s="497" t="s">
        <v>112</v>
      </c>
      <c r="E26" s="496" t="s">
        <v>630</v>
      </c>
    </row>
    <row r="27" spans="1:8" x14ac:dyDescent="0.25">
      <c r="A27" s="914" t="s">
        <v>393</v>
      </c>
      <c r="B27" s="925"/>
      <c r="C27" s="382">
        <f>'Cost Inputs'!B86</f>
        <v>500000</v>
      </c>
      <c r="D27" s="382" t="str">
        <f>'Cost Inputs'!C86</f>
        <v>per berth</v>
      </c>
      <c r="E27" s="383">
        <f>'Cost Inputs'!D86</f>
        <v>2020</v>
      </c>
    </row>
    <row r="28" spans="1:8" x14ac:dyDescent="0.25">
      <c r="A28" s="914" t="s">
        <v>626</v>
      </c>
      <c r="B28" s="925"/>
      <c r="C28" s="382">
        <f>'Cost Inputs'!B88</f>
        <v>5642142.9771428565</v>
      </c>
      <c r="D28" s="382" t="str">
        <f>'Cost Inputs'!C88</f>
        <v>per berth</v>
      </c>
      <c r="E28" s="383">
        <f>'Cost Inputs'!D88</f>
        <v>2020</v>
      </c>
    </row>
    <row r="29" spans="1:8" x14ac:dyDescent="0.25">
      <c r="A29" s="914" t="s">
        <v>627</v>
      </c>
      <c r="B29" s="925"/>
      <c r="C29" s="382">
        <f>'Cost Inputs'!B91</f>
        <v>1880714.3257142857</v>
      </c>
      <c r="D29" s="382" t="str">
        <f>'Cost Inputs'!C91</f>
        <v>per berth</v>
      </c>
      <c r="E29" s="383">
        <f>'Cost Inputs'!D91</f>
        <v>2020</v>
      </c>
      <c r="F29" s="514"/>
      <c r="G29" s="514"/>
      <c r="H29" s="514"/>
    </row>
    <row r="30" spans="1:8" x14ac:dyDescent="0.25">
      <c r="A30" s="914" t="s">
        <v>631</v>
      </c>
      <c r="B30" s="925"/>
      <c r="C30" s="512">
        <f>D39</f>
        <v>13</v>
      </c>
      <c r="D30" s="230"/>
      <c r="E30" s="514"/>
      <c r="F30" s="514"/>
      <c r="G30" s="514"/>
      <c r="H30" s="514"/>
    </row>
    <row r="31" spans="1:8" x14ac:dyDescent="0.25">
      <c r="A31" s="509"/>
      <c r="B31" s="509"/>
      <c r="C31" s="513"/>
      <c r="D31" s="230"/>
      <c r="E31" s="514"/>
      <c r="F31" s="514"/>
      <c r="G31" s="514"/>
      <c r="H31" s="514"/>
    </row>
    <row r="32" spans="1:8" ht="31.7" customHeight="1" x14ac:dyDescent="0.25">
      <c r="A32" s="881" t="s">
        <v>629</v>
      </c>
      <c r="B32" s="881"/>
      <c r="C32" s="497" t="s">
        <v>25</v>
      </c>
      <c r="D32" s="497" t="s">
        <v>112</v>
      </c>
      <c r="E32" s="496" t="s">
        <v>630</v>
      </c>
      <c r="F32" s="514"/>
      <c r="G32" s="514"/>
      <c r="H32" s="514"/>
    </row>
    <row r="33" spans="1:18" x14ac:dyDescent="0.25">
      <c r="A33" s="913" t="s">
        <v>393</v>
      </c>
      <c r="B33" s="892"/>
      <c r="C33" s="382">
        <f>'Cost Inputs'!B95</f>
        <v>500000</v>
      </c>
      <c r="D33" s="146" t="str">
        <f>'Cost Inputs'!C95</f>
        <v>per berth</v>
      </c>
      <c r="E33" s="383">
        <f>'Cost Inputs'!D95</f>
        <v>2022</v>
      </c>
      <c r="F33" s="514"/>
      <c r="G33" s="514"/>
      <c r="H33" s="514"/>
    </row>
    <row r="34" spans="1:18" x14ac:dyDescent="0.25">
      <c r="A34" s="913" t="s">
        <v>626</v>
      </c>
      <c r="B34" s="892"/>
      <c r="C34" s="382">
        <f>'Cost Inputs'!B97</f>
        <v>8042142.8571428563</v>
      </c>
      <c r="D34" s="146" t="str">
        <f>'Cost Inputs'!C97</f>
        <v>per berth</v>
      </c>
      <c r="E34" s="383">
        <f>'Cost Inputs'!D97</f>
        <v>2022</v>
      </c>
      <c r="F34" s="514"/>
      <c r="G34" s="514"/>
      <c r="H34" s="514"/>
    </row>
    <row r="35" spans="1:18" x14ac:dyDescent="0.25">
      <c r="A35" s="913" t="s">
        <v>627</v>
      </c>
      <c r="B35" s="892"/>
      <c r="C35" s="382">
        <f>'Cost Inputs'!B100</f>
        <v>2680714.2857142859</v>
      </c>
      <c r="D35" s="528" t="str">
        <f>'Cost Inputs'!C100</f>
        <v>per berth</v>
      </c>
      <c r="E35" s="383">
        <f>'Cost Inputs'!D100</f>
        <v>2022</v>
      </c>
      <c r="F35" s="514"/>
      <c r="G35" s="514"/>
      <c r="H35" s="514"/>
    </row>
    <row r="36" spans="1:18" x14ac:dyDescent="0.25">
      <c r="A36" s="913" t="s">
        <v>631</v>
      </c>
      <c r="B36" s="892"/>
      <c r="C36" s="512">
        <f>D40</f>
        <v>17</v>
      </c>
      <c r="D36" s="230"/>
      <c r="E36" s="514"/>
      <c r="F36" s="514"/>
      <c r="G36" s="514"/>
      <c r="H36" s="514"/>
    </row>
    <row r="37" spans="1:18" x14ac:dyDescent="0.25">
      <c r="A37" s="508"/>
      <c r="B37" s="509"/>
      <c r="C37" s="513"/>
      <c r="D37" s="230"/>
      <c r="E37" s="514"/>
      <c r="F37" s="514"/>
      <c r="G37" s="514"/>
      <c r="H37" s="514"/>
    </row>
    <row r="38" spans="1:18" ht="30" customHeight="1" x14ac:dyDescent="0.25">
      <c r="A38" s="916" t="s">
        <v>632</v>
      </c>
      <c r="B38" s="917"/>
      <c r="C38" s="494" t="s">
        <v>213</v>
      </c>
      <c r="D38" s="494" t="s">
        <v>25</v>
      </c>
      <c r="E38" s="496" t="s">
        <v>630</v>
      </c>
      <c r="F38" s="514"/>
      <c r="G38" s="647" t="s">
        <v>815</v>
      </c>
      <c r="H38" s="647" t="s">
        <v>816</v>
      </c>
    </row>
    <row r="39" spans="1:18" x14ac:dyDescent="0.25">
      <c r="A39" s="914" t="s">
        <v>634</v>
      </c>
      <c r="B39" s="915"/>
      <c r="C39" s="10" t="s">
        <v>212</v>
      </c>
      <c r="D39" s="247">
        <f>'Berths, Terminals, Vessels'!G78+'Berths, Terminals, Vessels'!G79</f>
        <v>13</v>
      </c>
      <c r="E39" s="383">
        <f>'Berths, Terminals, Vessels'!D$78</f>
        <v>2024</v>
      </c>
      <c r="F39" s="514"/>
      <c r="G39" s="268">
        <f>'Berths, Terminals, Vessels'!C79</f>
        <v>6</v>
      </c>
      <c r="H39" s="268">
        <f>'Berths, Terminals, Vessels'!C78</f>
        <v>7</v>
      </c>
    </row>
    <row r="40" spans="1:18" x14ac:dyDescent="0.25">
      <c r="A40" s="914" t="s">
        <v>633</v>
      </c>
      <c r="B40" s="915"/>
      <c r="C40" s="10" t="s">
        <v>212</v>
      </c>
      <c r="D40" s="247">
        <f>'Berths, Terminals, Vessels'!G80+'Berths, Terminals, Vessels'!G81+'Berths, Terminals, Vessels'!G82+'Berths, Terminals, Vessels'!G83</f>
        <v>17</v>
      </c>
      <c r="E40" s="383">
        <f>'Berths, Terminals, Vessels'!D$80</f>
        <v>2026</v>
      </c>
      <c r="F40" s="514"/>
    </row>
    <row r="41" spans="1:18" ht="15" customHeight="1" x14ac:dyDescent="0.25"/>
    <row r="42" spans="1:18" ht="15.75" x14ac:dyDescent="0.25">
      <c r="A42" s="893" t="s">
        <v>23</v>
      </c>
      <c r="B42" s="894"/>
      <c r="C42" s="494" t="s">
        <v>15</v>
      </c>
      <c r="D42" s="148">
        <v>2019</v>
      </c>
      <c r="E42" s="148">
        <v>2020</v>
      </c>
      <c r="F42" s="148">
        <v>2021</v>
      </c>
      <c r="G42" s="148">
        <v>2022</v>
      </c>
      <c r="H42" s="148">
        <v>2023</v>
      </c>
      <c r="I42" s="148">
        <v>2024</v>
      </c>
      <c r="J42" s="148">
        <v>2025</v>
      </c>
      <c r="K42" s="148">
        <v>2026</v>
      </c>
      <c r="L42" s="148">
        <v>2027</v>
      </c>
      <c r="M42" s="148">
        <v>2028</v>
      </c>
      <c r="N42" s="148">
        <v>2029</v>
      </c>
      <c r="O42" s="148">
        <v>2030</v>
      </c>
      <c r="P42" s="161">
        <v>2031</v>
      </c>
      <c r="Q42" s="161">
        <v>2032</v>
      </c>
    </row>
    <row r="43" spans="1:18" s="21" customFormat="1" ht="6" customHeight="1" x14ac:dyDescent="0.25">
      <c r="A43" s="171"/>
      <c r="C43" s="147"/>
      <c r="D43" s="389"/>
      <c r="E43" s="314"/>
      <c r="F43" s="314"/>
      <c r="G43" s="314"/>
      <c r="H43" s="314"/>
      <c r="I43" s="314"/>
      <c r="J43" s="314"/>
      <c r="K43" s="314"/>
      <c r="L43" s="314"/>
      <c r="M43" s="314"/>
      <c r="N43" s="314"/>
      <c r="O43" s="314"/>
      <c r="P43" s="314"/>
      <c r="Q43" s="314"/>
    </row>
    <row r="44" spans="1:18" s="21" customFormat="1" x14ac:dyDescent="0.25">
      <c r="A44" s="171" t="s">
        <v>105</v>
      </c>
      <c r="C44" s="147"/>
      <c r="D44" s="389"/>
      <c r="E44" s="314"/>
      <c r="F44" s="314"/>
      <c r="G44" s="314"/>
      <c r="H44" s="314"/>
      <c r="I44" s="314"/>
      <c r="J44" s="314"/>
      <c r="K44" s="314"/>
      <c r="L44" s="314"/>
      <c r="M44" s="314"/>
      <c r="N44" s="314"/>
      <c r="O44" s="314"/>
      <c r="P44" s="314"/>
      <c r="Q44" s="314"/>
    </row>
    <row r="45" spans="1:18" x14ac:dyDescent="0.25">
      <c r="A45" s="823" t="s">
        <v>570</v>
      </c>
      <c r="B45" s="824"/>
      <c r="C45" s="354" t="s">
        <v>22</v>
      </c>
      <c r="D45" s="386"/>
      <c r="E45" s="386"/>
      <c r="F45" s="386"/>
      <c r="G45" s="386"/>
      <c r="H45" s="386"/>
      <c r="I45" s="386"/>
      <c r="J45" s="386"/>
      <c r="K45" s="386"/>
      <c r="L45" s="387">
        <f>'Vessel Visits'!$K148</f>
        <v>522.55852616984407</v>
      </c>
      <c r="M45" s="387">
        <f>'Vessel Visits'!$K156</f>
        <v>522.55852616984407</v>
      </c>
      <c r="N45" s="387">
        <f>'Vessel Visits'!$K156</f>
        <v>522.55852616984407</v>
      </c>
      <c r="O45" s="387">
        <f>'Vessel Visits'!$K156</f>
        <v>522.55852616984407</v>
      </c>
      <c r="P45" s="387">
        <f>'Vessel Visits'!$K156</f>
        <v>522.55852616984407</v>
      </c>
      <c r="Q45" s="387">
        <f>'Vessel Visits'!$K156</f>
        <v>522.55852616984407</v>
      </c>
      <c r="R45" s="11"/>
    </row>
    <row r="46" spans="1:18" x14ac:dyDescent="0.25">
      <c r="A46" s="823" t="s">
        <v>571</v>
      </c>
      <c r="B46" s="824"/>
      <c r="C46" s="354" t="s">
        <v>22</v>
      </c>
      <c r="D46" s="386"/>
      <c r="E46" s="386"/>
      <c r="F46" s="386"/>
      <c r="G46" s="386"/>
      <c r="H46" s="386"/>
      <c r="I46" s="386"/>
      <c r="J46" s="386"/>
      <c r="K46" s="386"/>
      <c r="L46" s="386"/>
      <c r="M46" s="386"/>
      <c r="N46" s="387">
        <f>'Vessel Visits'!$K184</f>
        <v>742.11119999999994</v>
      </c>
      <c r="O46" s="387">
        <f>'Vessel Visits'!$K194</f>
        <v>742.11119999999994</v>
      </c>
      <c r="P46" s="387">
        <f>'Vessel Visits'!$K194</f>
        <v>742.11119999999994</v>
      </c>
      <c r="Q46" s="387">
        <f>'Vessel Visits'!$K194</f>
        <v>742.11119999999994</v>
      </c>
      <c r="R46" s="11"/>
    </row>
    <row r="47" spans="1:18" x14ac:dyDescent="0.25">
      <c r="A47" s="823" t="s">
        <v>187</v>
      </c>
      <c r="B47" s="824"/>
      <c r="C47" s="354" t="s">
        <v>27</v>
      </c>
      <c r="D47" s="388">
        <f>Growth!I$8</f>
        <v>9.7795845679310989E-3</v>
      </c>
      <c r="E47" s="388">
        <f>Growth!I$9</f>
        <v>1.492791402705583E-2</v>
      </c>
      <c r="F47" s="388">
        <f>Growth!I$10</f>
        <v>2.6628462023319498E-2</v>
      </c>
      <c r="G47" s="388">
        <f>Growth!I$11</f>
        <v>3.4642567685373271E-2</v>
      </c>
      <c r="H47" s="388">
        <f>Growth!I$12</f>
        <v>4.2769630813193044E-2</v>
      </c>
      <c r="I47" s="388">
        <f>Growth!I$13</f>
        <v>5.1013291136714503E-2</v>
      </c>
      <c r="J47" s="388">
        <f>Growth!I$14</f>
        <v>5.9377352889062179E-2</v>
      </c>
      <c r="K47" s="388">
        <f>Growth!I$15</f>
        <v>7.0987745336126756E-2</v>
      </c>
      <c r="L47" s="388">
        <f>Growth!I$16</f>
        <v>8.2319423047410883E-2</v>
      </c>
      <c r="M47" s="388">
        <f>Growth!I$17</f>
        <v>9.3817950353126484E-2</v>
      </c>
      <c r="N47" s="388">
        <f>Growth!I$18</f>
        <v>0.10548686029160387</v>
      </c>
      <c r="O47" s="388">
        <f>Growth!I$19</f>
        <v>0.11732978702575415</v>
      </c>
      <c r="P47" s="388">
        <f>Growth!I$20</f>
        <v>0.13037367245195625</v>
      </c>
      <c r="Q47" s="388">
        <f>Growth!I$21</f>
        <v>0.14323738568409056</v>
      </c>
      <c r="R47" s="11"/>
    </row>
    <row r="49" spans="1:19" ht="15" customHeight="1" x14ac:dyDescent="0.25">
      <c r="A49" s="15" t="s">
        <v>261</v>
      </c>
    </row>
    <row r="50" spans="1:19" s="3" customFormat="1" ht="45" x14ac:dyDescent="0.25">
      <c r="A50" s="9" t="s">
        <v>640</v>
      </c>
      <c r="B50" s="496" t="s">
        <v>641</v>
      </c>
      <c r="C50" s="496" t="s">
        <v>21</v>
      </c>
      <c r="D50" s="497">
        <v>2019</v>
      </c>
      <c r="E50" s="497">
        <v>2020</v>
      </c>
      <c r="F50" s="497">
        <v>2021</v>
      </c>
      <c r="G50" s="497">
        <v>2022</v>
      </c>
      <c r="H50" s="497">
        <v>2023</v>
      </c>
      <c r="I50" s="497">
        <v>2024</v>
      </c>
      <c r="J50" s="497">
        <v>2025</v>
      </c>
      <c r="K50" s="497">
        <v>2026</v>
      </c>
      <c r="L50" s="497">
        <v>2027</v>
      </c>
      <c r="M50" s="497">
        <v>2028</v>
      </c>
      <c r="N50" s="497">
        <v>2029</v>
      </c>
      <c r="O50" s="497">
        <v>2030</v>
      </c>
      <c r="P50" s="181">
        <v>2031</v>
      </c>
      <c r="Q50" s="181">
        <v>2032</v>
      </c>
    </row>
    <row r="51" spans="1:19" s="267" customFormat="1" x14ac:dyDescent="0.25">
      <c r="A51" s="630" t="s">
        <v>642</v>
      </c>
      <c r="B51" s="642">
        <v>1</v>
      </c>
      <c r="C51" s="170" t="s">
        <v>35</v>
      </c>
      <c r="D51" s="390"/>
      <c r="E51" s="390"/>
      <c r="F51" s="390"/>
      <c r="G51" s="390"/>
      <c r="H51" s="390"/>
      <c r="I51" s="631">
        <f t="shared" ref="I51:Q51" si="0">$D$39*$E$24*$E10* (1+I$47)</f>
        <v>7142179.588014029</v>
      </c>
      <c r="J51" s="631">
        <f t="shared" si="0"/>
        <v>7199017.7190103531</v>
      </c>
      <c r="K51" s="631">
        <f t="shared" si="0"/>
        <v>7277916.3482128168</v>
      </c>
      <c r="L51" s="631">
        <f t="shared" si="0"/>
        <v>7354920.966451236</v>
      </c>
      <c r="M51" s="631">
        <f t="shared" si="0"/>
        <v>7433059.4140880713</v>
      </c>
      <c r="N51" s="631">
        <f t="shared" si="0"/>
        <v>7512355.6999483863</v>
      </c>
      <c r="O51" s="631">
        <f t="shared" si="0"/>
        <v>7592834.5200511385</v>
      </c>
      <c r="P51" s="631">
        <f t="shared" si="0"/>
        <v>7681474.4763914207</v>
      </c>
      <c r="Q51" s="631">
        <f t="shared" si="0"/>
        <v>7768890.0693695536</v>
      </c>
    </row>
    <row r="52" spans="1:19" s="267" customFormat="1" ht="45" x14ac:dyDescent="0.25">
      <c r="A52" s="630" t="s">
        <v>613</v>
      </c>
      <c r="B52" s="642">
        <v>1</v>
      </c>
      <c r="C52" s="170" t="s">
        <v>34</v>
      </c>
      <c r="D52" s="390"/>
      <c r="E52" s="390"/>
      <c r="F52" s="390"/>
      <c r="G52" s="390"/>
      <c r="H52" s="390"/>
      <c r="I52" s="631">
        <f t="shared" ref="I52:Q52" si="1">$D$39*$E$24*$E11* (1+I$47)</f>
        <v>7670505.2013739701</v>
      </c>
      <c r="J52" s="631">
        <f t="shared" si="1"/>
        <v>7731547.7968549542</v>
      </c>
      <c r="K52" s="631">
        <f t="shared" si="1"/>
        <v>7816282.7630121205</v>
      </c>
      <c r="L52" s="631">
        <f t="shared" si="1"/>
        <v>7898983.6132846139</v>
      </c>
      <c r="M52" s="631">
        <f t="shared" si="1"/>
        <v>7982902.1652671872</v>
      </c>
      <c r="N52" s="631">
        <f t="shared" si="1"/>
        <v>8068064.2037801836</v>
      </c>
      <c r="O52" s="631">
        <f t="shared" si="1"/>
        <v>8154496.2516713589</v>
      </c>
      <c r="P52" s="631">
        <f t="shared" si="1"/>
        <v>8249693.1362888664</v>
      </c>
      <c r="Q52" s="631">
        <f t="shared" si="1"/>
        <v>8343575.0881996294</v>
      </c>
    </row>
    <row r="53" spans="1:19" s="267" customFormat="1" x14ac:dyDescent="0.25">
      <c r="A53" s="630" t="s">
        <v>614</v>
      </c>
      <c r="B53" s="642">
        <v>1</v>
      </c>
      <c r="C53" s="170" t="s">
        <v>34</v>
      </c>
      <c r="D53" s="390"/>
      <c r="E53" s="390"/>
      <c r="F53" s="390"/>
      <c r="G53" s="390"/>
      <c r="H53" s="390"/>
      <c r="I53" s="631">
        <f t="shared" ref="I53:Q53" si="2">$D$39*$E$24*$E12* (1+I$47)</f>
        <v>5478932.2866956927</v>
      </c>
      <c r="J53" s="631">
        <f t="shared" si="2"/>
        <v>5522534.1406106809</v>
      </c>
      <c r="K53" s="631">
        <f t="shared" si="2"/>
        <v>5583059.1164372284</v>
      </c>
      <c r="L53" s="631">
        <f t="shared" si="2"/>
        <v>5642131.1523461528</v>
      </c>
      <c r="M53" s="631">
        <f t="shared" si="2"/>
        <v>5702072.9751908481</v>
      </c>
      <c r="N53" s="631">
        <f t="shared" si="2"/>
        <v>5762903.0027001314</v>
      </c>
      <c r="O53" s="631">
        <f t="shared" si="2"/>
        <v>5824640.1797652561</v>
      </c>
      <c r="P53" s="631">
        <f t="shared" si="2"/>
        <v>5892637.9544920474</v>
      </c>
      <c r="Q53" s="631">
        <f t="shared" si="2"/>
        <v>5959696.4915711638</v>
      </c>
    </row>
    <row r="54" spans="1:19" s="267" customFormat="1" x14ac:dyDescent="0.25">
      <c r="A54" s="630" t="s">
        <v>680</v>
      </c>
      <c r="B54" s="642">
        <v>1</v>
      </c>
      <c r="C54" s="170" t="s">
        <v>34</v>
      </c>
      <c r="D54" s="390"/>
      <c r="E54" s="390"/>
      <c r="F54" s="390"/>
      <c r="G54" s="390"/>
      <c r="H54" s="390"/>
      <c r="I54" s="631">
        <f t="shared" ref="I54:Q54" si="3">$D$39*$E$24*$E13* (1+I$47)</f>
        <v>4931039.0580261238</v>
      </c>
      <c r="J54" s="631">
        <f t="shared" si="3"/>
        <v>4970280.7265496133</v>
      </c>
      <c r="K54" s="631">
        <f t="shared" si="3"/>
        <v>5024753.2047935054</v>
      </c>
      <c r="L54" s="631">
        <f t="shared" si="3"/>
        <v>5077918.0371115375</v>
      </c>
      <c r="M54" s="631">
        <f t="shared" si="3"/>
        <v>5131865.6776717631</v>
      </c>
      <c r="N54" s="631">
        <f t="shared" si="3"/>
        <v>5186612.7024301179</v>
      </c>
      <c r="O54" s="631">
        <f t="shared" si="3"/>
        <v>5242176.1617887309</v>
      </c>
      <c r="P54" s="631">
        <f t="shared" si="3"/>
        <v>5303374.1590428427</v>
      </c>
      <c r="Q54" s="631">
        <f t="shared" si="3"/>
        <v>5363726.8424140476</v>
      </c>
    </row>
    <row r="55" spans="1:19" s="267" customFormat="1" x14ac:dyDescent="0.25">
      <c r="A55" s="630" t="s">
        <v>643</v>
      </c>
      <c r="B55" s="642">
        <v>1</v>
      </c>
      <c r="C55" s="170" t="s">
        <v>34</v>
      </c>
      <c r="D55" s="390"/>
      <c r="E55" s="390"/>
      <c r="F55" s="390"/>
      <c r="G55" s="390"/>
      <c r="H55" s="390"/>
      <c r="I55" s="631">
        <f t="shared" ref="I55:Q55" si="4">$D$39*$E$24*$E14* (1+I$47)</f>
        <v>7670505.2013739701</v>
      </c>
      <c r="J55" s="631">
        <f t="shared" si="4"/>
        <v>7731547.7968549542</v>
      </c>
      <c r="K55" s="631">
        <f t="shared" si="4"/>
        <v>7816282.7630121205</v>
      </c>
      <c r="L55" s="631">
        <f t="shared" si="4"/>
        <v>7898983.6132846139</v>
      </c>
      <c r="M55" s="631">
        <f t="shared" si="4"/>
        <v>7982902.1652671872</v>
      </c>
      <c r="N55" s="631">
        <f t="shared" si="4"/>
        <v>8068064.2037801836</v>
      </c>
      <c r="O55" s="631">
        <f t="shared" si="4"/>
        <v>8154496.2516713589</v>
      </c>
      <c r="P55" s="631">
        <f t="shared" si="4"/>
        <v>8249693.1362888664</v>
      </c>
      <c r="Q55" s="631">
        <f t="shared" si="4"/>
        <v>8343575.0881996294</v>
      </c>
    </row>
    <row r="56" spans="1:19" s="267" customFormat="1" x14ac:dyDescent="0.25">
      <c r="A56" s="630" t="s">
        <v>616</v>
      </c>
      <c r="B56" s="642">
        <v>1</v>
      </c>
      <c r="C56" s="170" t="s">
        <v>34</v>
      </c>
      <c r="D56" s="390"/>
      <c r="E56" s="390"/>
      <c r="F56" s="390"/>
      <c r="G56" s="390"/>
      <c r="H56" s="390"/>
      <c r="I56" s="631">
        <f t="shared" ref="I56:Q56" si="5">$D$39*$E$24*$E15* (1+I$47)</f>
        <v>10957864.573391385</v>
      </c>
      <c r="J56" s="631">
        <f t="shared" si="5"/>
        <v>11045068.281221362</v>
      </c>
      <c r="K56" s="631">
        <f t="shared" si="5"/>
        <v>11166118.232874457</v>
      </c>
      <c r="L56" s="631">
        <f t="shared" si="5"/>
        <v>11284262.304692306</v>
      </c>
      <c r="M56" s="631">
        <f t="shared" si="5"/>
        <v>11404145.950381696</v>
      </c>
      <c r="N56" s="631">
        <f t="shared" si="5"/>
        <v>11525806.005400263</v>
      </c>
      <c r="O56" s="631">
        <f t="shared" si="5"/>
        <v>11649280.359530512</v>
      </c>
      <c r="P56" s="631">
        <f t="shared" si="5"/>
        <v>11785275.908984095</v>
      </c>
      <c r="Q56" s="631">
        <f t="shared" si="5"/>
        <v>11919392.983142328</v>
      </c>
    </row>
    <row r="57" spans="1:19" s="267" customFormat="1" x14ac:dyDescent="0.25">
      <c r="A57" s="630" t="s">
        <v>637</v>
      </c>
      <c r="B57" s="642">
        <v>1</v>
      </c>
      <c r="C57" s="170" t="s">
        <v>34</v>
      </c>
      <c r="D57" s="390"/>
      <c r="E57" s="390"/>
      <c r="F57" s="390"/>
      <c r="G57" s="390"/>
      <c r="H57" s="390"/>
      <c r="I57" s="631">
        <f t="shared" ref="I57:Q57" si="6">$D$39*$E$24*$E16* (1+I$47)</f>
        <v>0</v>
      </c>
      <c r="J57" s="631">
        <f t="shared" si="6"/>
        <v>0</v>
      </c>
      <c r="K57" s="631">
        <f t="shared" si="6"/>
        <v>0</v>
      </c>
      <c r="L57" s="631">
        <f t="shared" si="6"/>
        <v>0</v>
      </c>
      <c r="M57" s="631">
        <f t="shared" si="6"/>
        <v>0</v>
      </c>
      <c r="N57" s="631">
        <f t="shared" si="6"/>
        <v>0</v>
      </c>
      <c r="O57" s="631">
        <f t="shared" si="6"/>
        <v>0</v>
      </c>
      <c r="P57" s="631">
        <f t="shared" si="6"/>
        <v>0</v>
      </c>
      <c r="Q57" s="631">
        <f t="shared" si="6"/>
        <v>0</v>
      </c>
    </row>
    <row r="58" spans="1:19" s="267" customFormat="1" x14ac:dyDescent="0.25">
      <c r="A58" s="632" t="s">
        <v>26</v>
      </c>
      <c r="B58" s="642">
        <v>2</v>
      </c>
      <c r="C58" s="632" t="s">
        <v>35</v>
      </c>
      <c r="D58" s="390"/>
      <c r="E58" s="390"/>
      <c r="F58" s="390"/>
      <c r="G58" s="390"/>
      <c r="H58" s="390"/>
      <c r="I58" s="390"/>
      <c r="J58" s="390"/>
      <c r="K58" s="390"/>
      <c r="L58" s="631">
        <f t="shared" ref="L58:Q58" si="7">$E$17*(1+L$47)*$H$39</f>
        <v>7576235.9613318769</v>
      </c>
      <c r="M58" s="631">
        <f t="shared" si="7"/>
        <v>7656725.6524718851</v>
      </c>
      <c r="N58" s="631">
        <f t="shared" si="7"/>
        <v>7738408.0220412277</v>
      </c>
      <c r="O58" s="631">
        <f t="shared" si="7"/>
        <v>7821308.5091802785</v>
      </c>
      <c r="P58" s="631">
        <f t="shared" si="7"/>
        <v>7912615.7071636934</v>
      </c>
      <c r="Q58" s="631">
        <f t="shared" si="7"/>
        <v>8002661.6997886328</v>
      </c>
      <c r="S58" s="538"/>
    </row>
    <row r="59" spans="1:19" s="267" customFormat="1" x14ac:dyDescent="0.25">
      <c r="A59" s="632" t="s">
        <v>26</v>
      </c>
      <c r="B59" s="642">
        <v>2</v>
      </c>
      <c r="C59" s="632" t="s">
        <v>34</v>
      </c>
      <c r="D59" s="390"/>
      <c r="E59" s="390"/>
      <c r="F59" s="390"/>
      <c r="G59" s="390"/>
      <c r="H59" s="390"/>
      <c r="I59" s="390"/>
      <c r="J59" s="390"/>
      <c r="K59" s="390"/>
      <c r="L59" s="631">
        <f t="shared" ref="L59:Q59" si="8">$E$17*(1+L$47)*$G$39</f>
        <v>6493916.5382844657</v>
      </c>
      <c r="M59" s="631">
        <f t="shared" si="8"/>
        <v>6562907.702118759</v>
      </c>
      <c r="N59" s="631">
        <f t="shared" si="8"/>
        <v>6632921.1617496237</v>
      </c>
      <c r="O59" s="631">
        <f t="shared" si="8"/>
        <v>6703978.7221545242</v>
      </c>
      <c r="P59" s="631">
        <f t="shared" si="8"/>
        <v>6782242.0347117372</v>
      </c>
      <c r="Q59" s="631">
        <f t="shared" si="8"/>
        <v>6859424.3141045421</v>
      </c>
      <c r="S59" s="538"/>
    </row>
    <row r="60" spans="1:19" s="267" customFormat="1" x14ac:dyDescent="0.25">
      <c r="A60" s="170" t="s">
        <v>611</v>
      </c>
      <c r="B60" s="642">
        <v>3</v>
      </c>
      <c r="C60" s="170" t="s">
        <v>35</v>
      </c>
      <c r="D60" s="390"/>
      <c r="E60" s="390"/>
      <c r="F60" s="390"/>
      <c r="G60" s="390"/>
      <c r="H60" s="390"/>
      <c r="I60" s="390"/>
      <c r="J60" s="390"/>
      <c r="K60" s="390"/>
      <c r="L60" s="631">
        <f t="shared" ref="L60:R60" si="9">$H$39*$E$18*(1+L$47)</f>
        <v>1233917.2645847267</v>
      </c>
      <c r="M60" s="631">
        <f t="shared" si="9"/>
        <v>1247026.3625623574</v>
      </c>
      <c r="N60" s="631">
        <f t="shared" si="9"/>
        <v>1260329.7082525149</v>
      </c>
      <c r="O60" s="631">
        <f t="shared" si="9"/>
        <v>1273831.4448464445</v>
      </c>
      <c r="P60" s="631">
        <f t="shared" si="9"/>
        <v>1288702.3554869818</v>
      </c>
      <c r="Q60" s="631">
        <f t="shared" si="9"/>
        <v>1303367.8576537133</v>
      </c>
      <c r="R60" s="631">
        <f t="shared" si="9"/>
        <v>1140067.5607488151</v>
      </c>
    </row>
    <row r="61" spans="1:19" s="267" customFormat="1" x14ac:dyDescent="0.25">
      <c r="A61" s="170" t="s">
        <v>611</v>
      </c>
      <c r="B61" s="642">
        <v>3</v>
      </c>
      <c r="C61" s="632" t="s">
        <v>34</v>
      </c>
      <c r="D61" s="390"/>
      <c r="E61" s="390"/>
      <c r="F61" s="390"/>
      <c r="G61" s="390"/>
      <c r="H61" s="390"/>
      <c r="I61" s="390"/>
      <c r="J61" s="390"/>
      <c r="K61" s="390"/>
      <c r="L61" s="631">
        <f t="shared" ref="L61:Q61" si="10">$G$39*$E$18*(1+L$47)</f>
        <v>1057643.3696440514</v>
      </c>
      <c r="M61" s="631">
        <f t="shared" si="10"/>
        <v>1068879.7393391635</v>
      </c>
      <c r="N61" s="631">
        <f t="shared" si="10"/>
        <v>1080282.6070735843</v>
      </c>
      <c r="O61" s="631">
        <f t="shared" si="10"/>
        <v>1091855.5241540954</v>
      </c>
      <c r="P61" s="631">
        <f t="shared" si="10"/>
        <v>1104602.0189888417</v>
      </c>
      <c r="Q61" s="631">
        <f t="shared" si="10"/>
        <v>1117172.4494174689</v>
      </c>
    </row>
    <row r="62" spans="1:19" s="267" customFormat="1" x14ac:dyDescent="0.25">
      <c r="A62" s="170" t="s">
        <v>624</v>
      </c>
      <c r="B62" s="642">
        <v>4</v>
      </c>
      <c r="C62" s="632" t="s">
        <v>35</v>
      </c>
      <c r="D62" s="390"/>
      <c r="E62" s="390"/>
      <c r="F62" s="390"/>
      <c r="G62" s="390"/>
      <c r="H62" s="390"/>
      <c r="I62" s="390"/>
      <c r="J62" s="390"/>
      <c r="K62" s="390"/>
      <c r="L62" s="391">
        <f t="shared" ref="L62:Q62" si="11">L45*$C$7*$E$19*(1+L$47)</f>
        <v>4603782.4743785802</v>
      </c>
      <c r="M62" s="391">
        <f t="shared" si="11"/>
        <v>4652692.9137220476</v>
      </c>
      <c r="N62" s="391">
        <f t="shared" si="11"/>
        <v>4702328.0971308472</v>
      </c>
      <c r="O62" s="391">
        <f t="shared" si="11"/>
        <v>4752703.4829762895</v>
      </c>
      <c r="P62" s="391">
        <f t="shared" si="11"/>
        <v>4808187.2984231832</v>
      </c>
      <c r="Q62" s="391">
        <f t="shared" si="11"/>
        <v>4862904.7286683004</v>
      </c>
    </row>
    <row r="63" spans="1:19" s="267" customFormat="1" x14ac:dyDescent="0.25">
      <c r="A63" s="170" t="s">
        <v>650</v>
      </c>
      <c r="B63" s="642">
        <v>5</v>
      </c>
      <c r="C63" s="170" t="s">
        <v>34</v>
      </c>
      <c r="D63" s="390"/>
      <c r="E63" s="631">
        <f>$C$30*$C$27/7</f>
        <v>928571.42857142852</v>
      </c>
      <c r="F63" s="631">
        <f t="shared" ref="F63:K63" si="12">$C30*$C27/7</f>
        <v>928571.42857142852</v>
      </c>
      <c r="G63" s="631">
        <f t="shared" si="12"/>
        <v>928571.42857142852</v>
      </c>
      <c r="H63" s="631">
        <f t="shared" si="12"/>
        <v>928571.42857142852</v>
      </c>
      <c r="I63" s="631">
        <f t="shared" si="12"/>
        <v>928571.42857142852</v>
      </c>
      <c r="J63" s="631">
        <f t="shared" si="12"/>
        <v>928571.42857142852</v>
      </c>
      <c r="K63" s="631">
        <f t="shared" si="12"/>
        <v>928571.42857142852</v>
      </c>
      <c r="L63" s="390"/>
      <c r="M63" s="390"/>
      <c r="N63" s="390"/>
      <c r="O63" s="390"/>
      <c r="P63" s="390"/>
      <c r="Q63" s="390"/>
    </row>
    <row r="64" spans="1:19" s="267" customFormat="1" x14ac:dyDescent="0.25">
      <c r="A64" s="170" t="s">
        <v>626</v>
      </c>
      <c r="B64" s="642">
        <v>5</v>
      </c>
      <c r="C64" s="170" t="s">
        <v>34</v>
      </c>
      <c r="D64" s="390"/>
      <c r="E64" s="631">
        <f>$C$30*$C$28/7</f>
        <v>10478265.52897959</v>
      </c>
      <c r="F64" s="631">
        <f t="shared" ref="F64:K64" si="13">$C$30*$C$28/7</f>
        <v>10478265.52897959</v>
      </c>
      <c r="G64" s="631">
        <f t="shared" si="13"/>
        <v>10478265.52897959</v>
      </c>
      <c r="H64" s="631">
        <f t="shared" si="13"/>
        <v>10478265.52897959</v>
      </c>
      <c r="I64" s="631">
        <f t="shared" si="13"/>
        <v>10478265.52897959</v>
      </c>
      <c r="J64" s="631">
        <f t="shared" si="13"/>
        <v>10478265.52897959</v>
      </c>
      <c r="K64" s="631">
        <f t="shared" si="13"/>
        <v>10478265.52897959</v>
      </c>
      <c r="L64" s="390"/>
      <c r="M64" s="390"/>
      <c r="N64" s="390"/>
      <c r="O64" s="390"/>
      <c r="P64" s="390"/>
      <c r="Q64" s="390"/>
    </row>
    <row r="65" spans="1:20" s="267" customFormat="1" x14ac:dyDescent="0.25">
      <c r="A65" s="170" t="s">
        <v>627</v>
      </c>
      <c r="B65" s="642">
        <v>5</v>
      </c>
      <c r="C65" s="170" t="s">
        <v>34</v>
      </c>
      <c r="D65" s="390"/>
      <c r="E65" s="631">
        <f>$C$30*$C$29/7</f>
        <v>3492755.176326531</v>
      </c>
      <c r="F65" s="631">
        <f t="shared" ref="F65:K65" si="14">$C$30*$C$29/7</f>
        <v>3492755.176326531</v>
      </c>
      <c r="G65" s="631">
        <f t="shared" si="14"/>
        <v>3492755.176326531</v>
      </c>
      <c r="H65" s="631">
        <f t="shared" si="14"/>
        <v>3492755.176326531</v>
      </c>
      <c r="I65" s="631">
        <f t="shared" si="14"/>
        <v>3492755.176326531</v>
      </c>
      <c r="J65" s="631">
        <f t="shared" si="14"/>
        <v>3492755.176326531</v>
      </c>
      <c r="K65" s="631">
        <f t="shared" si="14"/>
        <v>3492755.176326531</v>
      </c>
      <c r="L65" s="390"/>
      <c r="M65" s="390"/>
      <c r="N65" s="390"/>
      <c r="O65" s="390"/>
      <c r="P65" s="390"/>
      <c r="Q65" s="390"/>
    </row>
    <row r="66" spans="1:20" s="267" customFormat="1" x14ac:dyDescent="0.25">
      <c r="A66" s="170" t="s">
        <v>603</v>
      </c>
      <c r="B66" s="642">
        <v>6</v>
      </c>
      <c r="C66" s="170" t="s">
        <v>35</v>
      </c>
      <c r="D66" s="390"/>
      <c r="E66" s="390"/>
      <c r="F66" s="390"/>
      <c r="G66" s="390"/>
      <c r="H66" s="390"/>
      <c r="I66" s="390"/>
      <c r="J66" s="390"/>
      <c r="K66" s="390"/>
      <c r="L66" s="631">
        <f>$D39*$E$23*(1+L47)</f>
        <v>168841.82999539611</v>
      </c>
      <c r="M66" s="631">
        <f>$D39*$E23*(1+M47)</f>
        <v>170635.60025508772</v>
      </c>
      <c r="N66" s="631">
        <f>$D39*$E23*(1+N47)</f>
        <v>172455.95020549023</v>
      </c>
      <c r="O66" s="631">
        <f>$D39*$E23*(1+O47)</f>
        <v>174303.44677601763</v>
      </c>
      <c r="P66" s="631">
        <f>$D39*$E23*(1+P47)</f>
        <v>176338.29290250517</v>
      </c>
      <c r="Q66" s="631">
        <f>$D39*$E23*(1+Q47)</f>
        <v>178345.03216671813</v>
      </c>
    </row>
    <row r="67" spans="1:20" s="493" customFormat="1" x14ac:dyDescent="0.25">
      <c r="A67" s="517"/>
      <c r="B67" s="518"/>
      <c r="C67" s="518"/>
      <c r="D67" s="518"/>
      <c r="E67" s="518"/>
      <c r="F67" s="518"/>
      <c r="G67" s="518"/>
      <c r="H67" s="518"/>
      <c r="I67" s="518"/>
      <c r="J67" s="518"/>
      <c r="K67" s="518"/>
      <c r="L67" s="518"/>
      <c r="M67" s="518"/>
      <c r="N67" s="518"/>
      <c r="O67" s="518"/>
      <c r="P67" s="519"/>
      <c r="Q67" s="519"/>
    </row>
    <row r="68" spans="1:20" s="493" customFormat="1" ht="45" x14ac:dyDescent="0.25">
      <c r="A68" s="9" t="s">
        <v>661</v>
      </c>
      <c r="B68" s="498" t="s">
        <v>641</v>
      </c>
      <c r="C68" s="498" t="s">
        <v>21</v>
      </c>
      <c r="D68" s="497">
        <v>2019</v>
      </c>
      <c r="E68" s="497">
        <v>2020</v>
      </c>
      <c r="F68" s="497">
        <v>2021</v>
      </c>
      <c r="G68" s="497">
        <v>2022</v>
      </c>
      <c r="H68" s="497">
        <v>2023</v>
      </c>
      <c r="I68" s="497">
        <v>2024</v>
      </c>
      <c r="J68" s="497">
        <v>2025</v>
      </c>
      <c r="K68" s="497">
        <v>2026</v>
      </c>
      <c r="L68" s="497">
        <v>2027</v>
      </c>
      <c r="M68" s="497">
        <v>2028</v>
      </c>
      <c r="N68" s="497">
        <v>2029</v>
      </c>
      <c r="O68" s="497">
        <v>2030</v>
      </c>
      <c r="P68" s="181">
        <v>2031</v>
      </c>
      <c r="Q68" s="181">
        <v>2032</v>
      </c>
      <c r="R68" s="181">
        <v>2032</v>
      </c>
    </row>
    <row r="69" spans="1:20" x14ac:dyDescent="0.25">
      <c r="A69" s="516" t="s">
        <v>642</v>
      </c>
      <c r="B69" s="515">
        <v>1</v>
      </c>
      <c r="C69" s="170" t="s">
        <v>35</v>
      </c>
      <c r="D69" s="386"/>
      <c r="E69" s="386"/>
      <c r="F69" s="386"/>
      <c r="G69" s="386"/>
      <c r="H69" s="386"/>
      <c r="I69" s="386"/>
      <c r="J69" s="386"/>
      <c r="K69" s="377">
        <f t="shared" ref="K69:Q75" si="15">$D$40*$E$24*$F10* (1+K$47)</f>
        <v>9517275.2245859914</v>
      </c>
      <c r="L69" s="377">
        <f t="shared" si="15"/>
        <v>9617973.5715131536</v>
      </c>
      <c r="M69" s="377">
        <f t="shared" si="15"/>
        <v>9720154.6184228621</v>
      </c>
      <c r="N69" s="377">
        <f t="shared" si="15"/>
        <v>9823849.761470966</v>
      </c>
      <c r="O69" s="377">
        <f t="shared" si="15"/>
        <v>9929091.2954514883</v>
      </c>
      <c r="P69" s="377">
        <f t="shared" si="15"/>
        <v>10045005.084511856</v>
      </c>
      <c r="Q69" s="377">
        <f t="shared" si="15"/>
        <v>10159317.783021724</v>
      </c>
      <c r="R69" s="11"/>
    </row>
    <row r="70" spans="1:20" ht="45" x14ac:dyDescent="0.25">
      <c r="A70" s="516" t="s">
        <v>613</v>
      </c>
      <c r="B70" s="515">
        <v>1</v>
      </c>
      <c r="C70" s="170" t="s">
        <v>35</v>
      </c>
      <c r="D70" s="386"/>
      <c r="E70" s="386"/>
      <c r="F70" s="386"/>
      <c r="G70" s="386"/>
      <c r="H70" s="386"/>
      <c r="I70" s="386"/>
      <c r="J70" s="386"/>
      <c r="K70" s="377">
        <f t="shared" si="15"/>
        <v>10221292.843938926</v>
      </c>
      <c r="L70" s="377">
        <f t="shared" si="15"/>
        <v>10329440.10967988</v>
      </c>
      <c r="M70" s="377">
        <f t="shared" si="15"/>
        <v>10439179.754580168</v>
      </c>
      <c r="N70" s="377">
        <f t="shared" si="15"/>
        <v>10550545.49725101</v>
      </c>
      <c r="O70" s="377">
        <f t="shared" si="15"/>
        <v>10663572.021416392</v>
      </c>
      <c r="P70" s="377">
        <f t="shared" si="15"/>
        <v>10788060.25514698</v>
      </c>
      <c r="Q70" s="377">
        <f t="shared" si="15"/>
        <v>10910828.961491823</v>
      </c>
      <c r="R70" s="11"/>
    </row>
    <row r="71" spans="1:20" x14ac:dyDescent="0.25">
      <c r="A71" s="516" t="s">
        <v>614</v>
      </c>
      <c r="B71" s="515">
        <v>1</v>
      </c>
      <c r="C71" s="170" t="s">
        <v>35</v>
      </c>
      <c r="D71" s="386"/>
      <c r="E71" s="386"/>
      <c r="F71" s="386"/>
      <c r="G71" s="386"/>
      <c r="H71" s="386"/>
      <c r="I71" s="386"/>
      <c r="J71" s="386"/>
      <c r="K71" s="377">
        <f t="shared" si="15"/>
        <v>21902770.37986913</v>
      </c>
      <c r="L71" s="377">
        <f t="shared" si="15"/>
        <v>22134514.520742599</v>
      </c>
      <c r="M71" s="377">
        <f t="shared" si="15"/>
        <v>22369670.902671788</v>
      </c>
      <c r="N71" s="377">
        <f t="shared" si="15"/>
        <v>22608311.77982359</v>
      </c>
      <c r="O71" s="377">
        <f t="shared" si="15"/>
        <v>22850511.474463698</v>
      </c>
      <c r="P71" s="377">
        <f t="shared" si="15"/>
        <v>23117271.975314956</v>
      </c>
      <c r="Q71" s="377">
        <f t="shared" si="15"/>
        <v>23380347.774625335</v>
      </c>
      <c r="R71" s="11"/>
    </row>
    <row r="72" spans="1:20" x14ac:dyDescent="0.25">
      <c r="A72" s="562" t="s">
        <v>680</v>
      </c>
      <c r="B72" s="515">
        <v>1</v>
      </c>
      <c r="C72" s="170" t="s">
        <v>35</v>
      </c>
      <c r="D72" s="386"/>
      <c r="E72" s="386"/>
      <c r="F72" s="386"/>
      <c r="G72" s="386"/>
      <c r="H72" s="386"/>
      <c r="I72" s="386"/>
      <c r="J72" s="386"/>
      <c r="K72" s="377">
        <f t="shared" si="15"/>
        <v>6570831.1139607383</v>
      </c>
      <c r="L72" s="377">
        <f t="shared" si="15"/>
        <v>6640354.3562227804</v>
      </c>
      <c r="M72" s="377">
        <f t="shared" si="15"/>
        <v>6710901.2708015367</v>
      </c>
      <c r="N72" s="377">
        <f t="shared" si="15"/>
        <v>6782493.5339470776</v>
      </c>
      <c r="O72" s="377">
        <f t="shared" si="15"/>
        <v>6855153.4423391093</v>
      </c>
      <c r="P72" s="377">
        <f t="shared" si="15"/>
        <v>6935181.5925944867</v>
      </c>
      <c r="Q72" s="377">
        <f t="shared" si="15"/>
        <v>7014104.3323876001</v>
      </c>
      <c r="R72" s="11"/>
    </row>
    <row r="73" spans="1:20" x14ac:dyDescent="0.25">
      <c r="A73" s="516" t="s">
        <v>643</v>
      </c>
      <c r="B73" s="515">
        <v>1</v>
      </c>
      <c r="C73" s="170" t="s">
        <v>35</v>
      </c>
      <c r="D73" s="386"/>
      <c r="E73" s="386"/>
      <c r="F73" s="386"/>
      <c r="G73" s="386"/>
      <c r="H73" s="386"/>
      <c r="I73" s="386"/>
      <c r="J73" s="386"/>
      <c r="K73" s="377">
        <f t="shared" si="15"/>
        <v>20442585.687877852</v>
      </c>
      <c r="L73" s="377">
        <f t="shared" si="15"/>
        <v>20658880.219359759</v>
      </c>
      <c r="M73" s="377">
        <f t="shared" si="15"/>
        <v>20878359.509160336</v>
      </c>
      <c r="N73" s="377">
        <f t="shared" si="15"/>
        <v>21101090.994502019</v>
      </c>
      <c r="O73" s="377">
        <f t="shared" si="15"/>
        <v>21327144.042832784</v>
      </c>
      <c r="P73" s="377">
        <f t="shared" si="15"/>
        <v>21576120.510293961</v>
      </c>
      <c r="Q73" s="377">
        <f t="shared" si="15"/>
        <v>21821657.922983646</v>
      </c>
      <c r="R73" s="11"/>
    </row>
    <row r="74" spans="1:20" x14ac:dyDescent="0.25">
      <c r="A74" s="516" t="s">
        <v>616</v>
      </c>
      <c r="B74" s="515">
        <v>1</v>
      </c>
      <c r="C74" s="170" t="s">
        <v>35</v>
      </c>
      <c r="D74" s="386"/>
      <c r="E74" s="386"/>
      <c r="F74" s="386"/>
      <c r="G74" s="386"/>
      <c r="H74" s="386"/>
      <c r="I74" s="386"/>
      <c r="J74" s="386"/>
      <c r="K74" s="377">
        <f t="shared" si="15"/>
        <v>29203693.839825504</v>
      </c>
      <c r="L74" s="377">
        <f t="shared" si="15"/>
        <v>29512686.027656801</v>
      </c>
      <c r="M74" s="377">
        <f t="shared" si="15"/>
        <v>29826227.870229051</v>
      </c>
      <c r="N74" s="377">
        <f t="shared" si="15"/>
        <v>30144415.706431456</v>
      </c>
      <c r="O74" s="377">
        <f t="shared" si="15"/>
        <v>30467348.632618263</v>
      </c>
      <c r="P74" s="377">
        <f t="shared" si="15"/>
        <v>30823029.300419942</v>
      </c>
      <c r="Q74" s="377">
        <f t="shared" si="15"/>
        <v>31173797.032833781</v>
      </c>
      <c r="R74" s="11"/>
    </row>
    <row r="75" spans="1:20" x14ac:dyDescent="0.25">
      <c r="A75" s="516" t="s">
        <v>637</v>
      </c>
      <c r="B75" s="515">
        <v>1</v>
      </c>
      <c r="C75" s="170" t="s">
        <v>35</v>
      </c>
      <c r="D75" s="386"/>
      <c r="E75" s="386"/>
      <c r="F75" s="386"/>
      <c r="G75" s="386"/>
      <c r="H75" s="386"/>
      <c r="I75" s="386"/>
      <c r="J75" s="386"/>
      <c r="K75" s="377">
        <f t="shared" si="15"/>
        <v>0</v>
      </c>
      <c r="L75" s="377">
        <f t="shared" si="15"/>
        <v>0</v>
      </c>
      <c r="M75" s="377">
        <f t="shared" si="15"/>
        <v>0</v>
      </c>
      <c r="N75" s="377">
        <f t="shared" si="15"/>
        <v>0</v>
      </c>
      <c r="O75" s="377">
        <f t="shared" si="15"/>
        <v>0</v>
      </c>
      <c r="P75" s="377">
        <f t="shared" si="15"/>
        <v>0</v>
      </c>
      <c r="Q75" s="377">
        <f t="shared" si="15"/>
        <v>0</v>
      </c>
      <c r="R75" s="11"/>
    </row>
    <row r="76" spans="1:20" x14ac:dyDescent="0.25">
      <c r="A76" s="521" t="s">
        <v>26</v>
      </c>
      <c r="B76" s="515">
        <v>2</v>
      </c>
      <c r="C76" s="632" t="s">
        <v>35</v>
      </c>
      <c r="D76" s="386"/>
      <c r="E76" s="386"/>
      <c r="F76" s="386"/>
      <c r="G76" s="386"/>
      <c r="H76" s="386"/>
      <c r="I76" s="386"/>
      <c r="J76" s="386"/>
      <c r="K76" s="386"/>
      <c r="L76" s="386"/>
      <c r="M76" s="386"/>
      <c r="N76" s="377">
        <f>$F$17*(1+N$47)*$D$40</f>
        <v>18793276.624957267</v>
      </c>
      <c r="O76" s="377">
        <f>$F$17*(1+O$47)*$D$40</f>
        <v>18994606.379437819</v>
      </c>
      <c r="P76" s="377">
        <f>$F$17*(1+P$47)*$D$40</f>
        <v>19216352.431683257</v>
      </c>
      <c r="Q76" s="377">
        <f>$F$17*(1+Q$47)*$D$40</f>
        <v>19435035.556629539</v>
      </c>
      <c r="R76" s="11"/>
    </row>
    <row r="77" spans="1:20" x14ac:dyDescent="0.25">
      <c r="A77" s="520" t="s">
        <v>611</v>
      </c>
      <c r="B77" s="515">
        <v>3</v>
      </c>
      <c r="C77" s="170" t="s">
        <v>35</v>
      </c>
      <c r="D77" s="386"/>
      <c r="E77" s="386"/>
      <c r="F77" s="386"/>
      <c r="G77" s="386"/>
      <c r="H77" s="386"/>
      <c r="I77" s="386"/>
      <c r="J77" s="386"/>
      <c r="K77" s="386"/>
      <c r="L77" s="386"/>
      <c r="M77" s="386"/>
      <c r="N77" s="377">
        <f>$D40*$F$18*(1+N47)</f>
        <v>4362774.3478927445</v>
      </c>
      <c r="O77" s="377">
        <f>$D40*$F$18*(1+O47)</f>
        <v>4409512.1417242289</v>
      </c>
      <c r="P77" s="377">
        <f>$D40*$F$18*(1+P47)</f>
        <v>4460989.4869359797</v>
      </c>
      <c r="Q77" s="377">
        <f>$D40*$F$18*(1+Q47)</f>
        <v>4511755.7873992892</v>
      </c>
      <c r="R77" s="11"/>
    </row>
    <row r="78" spans="1:20" s="267" customFormat="1" x14ac:dyDescent="0.25">
      <c r="A78" s="170" t="s">
        <v>624</v>
      </c>
      <c r="B78" s="515">
        <v>4</v>
      </c>
      <c r="C78" s="733" t="s">
        <v>35</v>
      </c>
      <c r="D78" s="390"/>
      <c r="E78" s="390"/>
      <c r="F78" s="390"/>
      <c r="G78" s="390"/>
      <c r="H78" s="390"/>
      <c r="I78" s="390"/>
      <c r="J78" s="390"/>
      <c r="K78" s="390"/>
      <c r="L78" s="390"/>
      <c r="M78" s="390"/>
      <c r="N78" s="391">
        <f>N46*$C$7*$F$19*(1+N$47)</f>
        <v>16695021.572671022</v>
      </c>
      <c r="O78" s="391">
        <f>O46*$C$7*$F$19*(1+O$47)</f>
        <v>16873873.013074435</v>
      </c>
      <c r="P78" s="391">
        <f>P46*$C$7*$F$19*(1+P$47)</f>
        <v>17070861.287113667</v>
      </c>
      <c r="Q78" s="391">
        <f>Q46*$C$7*$F$19*(1+Q$47)</f>
        <v>17265128.607358873</v>
      </c>
      <c r="S78" s="1"/>
      <c r="T78" s="1"/>
    </row>
    <row r="79" spans="1:20" x14ac:dyDescent="0.25">
      <c r="A79" s="520" t="s">
        <v>650</v>
      </c>
      <c r="B79" s="515">
        <v>5</v>
      </c>
      <c r="C79" s="168" t="s">
        <v>35</v>
      </c>
      <c r="D79" s="386"/>
      <c r="E79" s="386"/>
      <c r="F79" s="386"/>
      <c r="G79" s="377">
        <f t="shared" ref="G79:M81" si="16">$C$36*$C33/7</f>
        <v>1214285.7142857143</v>
      </c>
      <c r="H79" s="377">
        <f t="shared" si="16"/>
        <v>1214285.7142857143</v>
      </c>
      <c r="I79" s="377">
        <f t="shared" si="16"/>
        <v>1214285.7142857143</v>
      </c>
      <c r="J79" s="377">
        <f t="shared" si="16"/>
        <v>1214285.7142857143</v>
      </c>
      <c r="K79" s="377">
        <f t="shared" si="16"/>
        <v>1214285.7142857143</v>
      </c>
      <c r="L79" s="377">
        <f t="shared" si="16"/>
        <v>1214285.7142857143</v>
      </c>
      <c r="M79" s="377">
        <f t="shared" si="16"/>
        <v>1214285.7142857143</v>
      </c>
      <c r="N79" s="386"/>
      <c r="O79" s="386"/>
      <c r="P79" s="386"/>
      <c r="Q79" s="386"/>
      <c r="R79" s="11"/>
    </row>
    <row r="80" spans="1:20" x14ac:dyDescent="0.25">
      <c r="A80" s="520" t="s">
        <v>626</v>
      </c>
      <c r="B80" s="515">
        <v>5</v>
      </c>
      <c r="C80" s="168" t="s">
        <v>35</v>
      </c>
      <c r="D80" s="386"/>
      <c r="E80" s="386"/>
      <c r="F80" s="386"/>
      <c r="G80" s="377">
        <f t="shared" si="16"/>
        <v>19530918.367346939</v>
      </c>
      <c r="H80" s="377">
        <f t="shared" si="16"/>
        <v>19530918.367346939</v>
      </c>
      <c r="I80" s="377">
        <f t="shared" si="16"/>
        <v>19530918.367346939</v>
      </c>
      <c r="J80" s="377">
        <f t="shared" si="16"/>
        <v>19530918.367346939</v>
      </c>
      <c r="K80" s="377">
        <f t="shared" si="16"/>
        <v>19530918.367346939</v>
      </c>
      <c r="L80" s="377">
        <f t="shared" si="16"/>
        <v>19530918.367346939</v>
      </c>
      <c r="M80" s="377">
        <f t="shared" si="16"/>
        <v>19530918.367346939</v>
      </c>
      <c r="N80" s="386"/>
      <c r="O80" s="386"/>
      <c r="P80" s="386"/>
      <c r="Q80" s="386"/>
      <c r="R80" s="11"/>
    </row>
    <row r="81" spans="1:19" x14ac:dyDescent="0.25">
      <c r="A81" s="520" t="s">
        <v>627</v>
      </c>
      <c r="B81" s="515">
        <v>5</v>
      </c>
      <c r="C81" s="544" t="s">
        <v>35</v>
      </c>
      <c r="D81" s="386"/>
      <c r="E81" s="386"/>
      <c r="F81" s="386"/>
      <c r="G81" s="377">
        <f t="shared" si="16"/>
        <v>6510306.1224489799</v>
      </c>
      <c r="H81" s="377">
        <f t="shared" si="16"/>
        <v>6510306.1224489799</v>
      </c>
      <c r="I81" s="377">
        <f t="shared" si="16"/>
        <v>6510306.1224489799</v>
      </c>
      <c r="J81" s="377">
        <f t="shared" si="16"/>
        <v>6510306.1224489799</v>
      </c>
      <c r="K81" s="377">
        <f t="shared" si="16"/>
        <v>6510306.1224489799</v>
      </c>
      <c r="L81" s="377">
        <f t="shared" si="16"/>
        <v>6510306.1224489799</v>
      </c>
      <c r="M81" s="377">
        <f t="shared" si="16"/>
        <v>6510306.1224489799</v>
      </c>
      <c r="N81" s="386"/>
      <c r="O81" s="386"/>
      <c r="P81" s="386"/>
      <c r="Q81" s="386"/>
      <c r="R81" s="11"/>
    </row>
    <row r="82" spans="1:19" x14ac:dyDescent="0.25">
      <c r="A82" s="520" t="s">
        <v>603</v>
      </c>
      <c r="B82" s="515">
        <v>6</v>
      </c>
      <c r="C82" s="168" t="s">
        <v>35</v>
      </c>
      <c r="D82" s="386"/>
      <c r="E82" s="386"/>
      <c r="F82" s="386"/>
      <c r="G82" s="386"/>
      <c r="H82" s="386"/>
      <c r="I82" s="386"/>
      <c r="J82" s="386"/>
      <c r="K82" s="386"/>
      <c r="L82" s="386"/>
      <c r="M82" s="386"/>
      <c r="N82" s="457">
        <f>$D40*$E$23*(1+N47)</f>
        <v>225519.3194994872</v>
      </c>
      <c r="O82" s="457">
        <f>$D40*$E$23*(1+O47)</f>
        <v>227935.27655325385</v>
      </c>
      <c r="P82" s="457">
        <f>$D40*$E$23*(1+P47)</f>
        <v>230596.22918019907</v>
      </c>
      <c r="Q82" s="457">
        <f>$D40*$E$23*(1+Q47)</f>
        <v>233220.42667955445</v>
      </c>
      <c r="R82" s="11"/>
      <c r="S82" s="250"/>
    </row>
    <row r="83" spans="1:19" s="21" customFormat="1" ht="6" customHeight="1" x14ac:dyDescent="0.25">
      <c r="A83" s="171"/>
      <c r="B83" s="147"/>
      <c r="D83" s="389"/>
      <c r="E83" s="314"/>
      <c r="F83" s="314"/>
      <c r="G83" s="314"/>
      <c r="H83" s="314"/>
      <c r="I83" s="314"/>
      <c r="J83" s="314"/>
      <c r="K83" s="314"/>
      <c r="L83" s="314"/>
      <c r="M83" s="314"/>
      <c r="N83" s="314"/>
      <c r="O83" s="314"/>
      <c r="P83" s="314"/>
      <c r="Q83" s="314"/>
    </row>
    <row r="84" spans="1:19" x14ac:dyDescent="0.25">
      <c r="A84" s="373" t="s">
        <v>849</v>
      </c>
      <c r="B84" s="169"/>
      <c r="C84" s="143"/>
      <c r="D84" s="71"/>
      <c r="E84" s="71"/>
      <c r="F84" s="71"/>
      <c r="G84" s="71"/>
      <c r="H84" s="71"/>
      <c r="I84" s="71"/>
      <c r="J84" s="71"/>
      <c r="K84" s="71"/>
      <c r="L84" s="71"/>
      <c r="M84" s="71"/>
      <c r="N84" s="71"/>
      <c r="O84" s="71"/>
      <c r="P84" s="71"/>
      <c r="Q84" s="71"/>
    </row>
    <row r="85" spans="1:19" x14ac:dyDescent="0.25">
      <c r="A85" s="220"/>
      <c r="B85" s="169"/>
      <c r="C85" s="143"/>
      <c r="D85" s="71"/>
      <c r="E85" s="71"/>
      <c r="F85" s="71"/>
      <c r="G85" s="71"/>
      <c r="H85" s="71"/>
      <c r="I85" s="71"/>
      <c r="J85" s="71"/>
      <c r="K85" s="71"/>
      <c r="L85" s="71"/>
      <c r="M85" s="71"/>
      <c r="N85" s="71"/>
      <c r="O85" s="71"/>
      <c r="P85" s="71"/>
      <c r="Q85" s="71"/>
    </row>
    <row r="86" spans="1:19" x14ac:dyDescent="0.25">
      <c r="A86" s="216" t="s">
        <v>216</v>
      </c>
      <c r="B86" s="169"/>
      <c r="C86" s="143"/>
      <c r="D86" s="71"/>
      <c r="E86" s="71"/>
      <c r="F86" s="71"/>
      <c r="G86" s="71"/>
      <c r="H86" s="71"/>
      <c r="I86" s="71"/>
      <c r="J86" s="71"/>
      <c r="K86" s="71"/>
      <c r="L86" s="71"/>
      <c r="M86" s="71"/>
      <c r="N86" s="71"/>
      <c r="O86" s="71"/>
      <c r="P86" s="71"/>
      <c r="Q86" s="71"/>
      <c r="R86" s="71"/>
    </row>
    <row r="87" spans="1:19" x14ac:dyDescent="0.25">
      <c r="A87" s="220" t="s">
        <v>644</v>
      </c>
      <c r="B87" s="169"/>
      <c r="C87" s="143"/>
      <c r="D87" s="71"/>
      <c r="E87" s="71"/>
      <c r="F87" s="71"/>
      <c r="G87" s="71"/>
      <c r="H87" s="71"/>
      <c r="I87" s="71"/>
      <c r="J87" s="71"/>
      <c r="K87" s="71"/>
      <c r="L87" s="71"/>
      <c r="M87" s="71"/>
      <c r="N87" s="71"/>
      <c r="O87" s="71"/>
      <c r="P87" s="71"/>
      <c r="Q87" s="71"/>
      <c r="R87" s="71"/>
    </row>
    <row r="88" spans="1:19" x14ac:dyDescent="0.25">
      <c r="A88" s="220" t="s">
        <v>662</v>
      </c>
    </row>
    <row r="89" spans="1:19" x14ac:dyDescent="0.25">
      <c r="A89" s="220" t="s">
        <v>647</v>
      </c>
    </row>
    <row r="90" spans="1:19" x14ac:dyDescent="0.25">
      <c r="A90" s="220" t="s">
        <v>648</v>
      </c>
    </row>
    <row r="91" spans="1:19" x14ac:dyDescent="0.25">
      <c r="A91" s="220" t="s">
        <v>646</v>
      </c>
    </row>
    <row r="92" spans="1:19" x14ac:dyDescent="0.25">
      <c r="A92" s="220" t="s">
        <v>649</v>
      </c>
    </row>
    <row r="93" spans="1:19" x14ac:dyDescent="0.25">
      <c r="A93" s="220" t="s">
        <v>660</v>
      </c>
    </row>
    <row r="94" spans="1:19" x14ac:dyDescent="0.25">
      <c r="A94" s="221"/>
    </row>
    <row r="95" spans="1:19" x14ac:dyDescent="0.25">
      <c r="A95" s="3" t="s">
        <v>227</v>
      </c>
    </row>
    <row r="96" spans="1:19" s="267" customFormat="1" ht="15" customHeight="1" x14ac:dyDescent="0.25">
      <c r="A96" s="918" t="s">
        <v>907</v>
      </c>
      <c r="B96" s="918"/>
      <c r="C96" s="918"/>
      <c r="D96" s="181">
        <v>2019</v>
      </c>
      <c r="E96" s="181">
        <v>2020</v>
      </c>
      <c r="F96" s="181">
        <v>2021</v>
      </c>
      <c r="G96" s="181">
        <v>2022</v>
      </c>
      <c r="H96" s="181">
        <v>2023</v>
      </c>
      <c r="I96" s="181">
        <v>2024</v>
      </c>
      <c r="J96" s="181">
        <v>2025</v>
      </c>
      <c r="K96" s="181">
        <v>2026</v>
      </c>
      <c r="L96" s="181">
        <v>2027</v>
      </c>
      <c r="M96" s="181">
        <v>2028</v>
      </c>
      <c r="N96" s="181">
        <v>2029</v>
      </c>
      <c r="O96" s="181">
        <v>2030</v>
      </c>
      <c r="P96" s="181">
        <v>2031</v>
      </c>
      <c r="Q96" s="181">
        <v>2032</v>
      </c>
    </row>
    <row r="97" spans="1:18" s="267" customFormat="1" ht="15.75" thickBot="1" x14ac:dyDescent="0.3">
      <c r="A97" s="889" t="s">
        <v>145</v>
      </c>
      <c r="B97" s="889"/>
      <c r="C97" s="889"/>
      <c r="D97" s="639">
        <f t="shared" ref="D97:Q97" si="17">SUM(D51:D66,D69:D82)</f>
        <v>0</v>
      </c>
      <c r="E97" s="639">
        <f t="shared" si="17"/>
        <v>14899592.133877549</v>
      </c>
      <c r="F97" s="639">
        <f t="shared" si="17"/>
        <v>14899592.133877549</v>
      </c>
      <c r="G97" s="639">
        <f t="shared" si="17"/>
        <v>42155102.337959185</v>
      </c>
      <c r="H97" s="639">
        <f t="shared" si="17"/>
        <v>42155102.337959185</v>
      </c>
      <c r="I97" s="639">
        <f t="shared" si="17"/>
        <v>86006128.246834353</v>
      </c>
      <c r="J97" s="639">
        <f t="shared" si="17"/>
        <v>86355098.799061105</v>
      </c>
      <c r="K97" s="639">
        <f t="shared" si="17"/>
        <v>184697963.85635957</v>
      </c>
      <c r="L97" s="639">
        <f t="shared" si="17"/>
        <v>192440896.13464612</v>
      </c>
      <c r="M97" s="639">
        <f t="shared" si="17"/>
        <v>194195820.4482834</v>
      </c>
      <c r="N97" s="639">
        <f t="shared" si="17"/>
        <v>208797830.50293916</v>
      </c>
      <c r="O97" s="639">
        <f t="shared" si="17"/>
        <v>211034652.57447743</v>
      </c>
      <c r="P97" s="639">
        <f t="shared" si="17"/>
        <v>213498304.63236031</v>
      </c>
      <c r="Q97" s="639">
        <f t="shared" si="17"/>
        <v>215927926.83010688</v>
      </c>
      <c r="R97" s="639">
        <f>SUM(R51:R66,R69:R82,R59:R61)</f>
        <v>2280135.1214976301</v>
      </c>
    </row>
    <row r="98" spans="1:18" s="267" customFormat="1" ht="15.75" thickTop="1" x14ac:dyDescent="0.25">
      <c r="A98" s="919" t="s">
        <v>145</v>
      </c>
      <c r="B98" s="919"/>
      <c r="C98" s="919"/>
      <c r="D98" s="641">
        <f t="shared" ref="D98:Q98" si="18">SUM(D97:D97)</f>
        <v>0</v>
      </c>
      <c r="E98" s="641">
        <f t="shared" si="18"/>
        <v>14899592.133877549</v>
      </c>
      <c r="F98" s="641">
        <f t="shared" si="18"/>
        <v>14899592.133877549</v>
      </c>
      <c r="G98" s="641">
        <f t="shared" si="18"/>
        <v>42155102.337959185</v>
      </c>
      <c r="H98" s="641">
        <f t="shared" si="18"/>
        <v>42155102.337959185</v>
      </c>
      <c r="I98" s="641">
        <f t="shared" si="18"/>
        <v>86006128.246834353</v>
      </c>
      <c r="J98" s="641">
        <f t="shared" si="18"/>
        <v>86355098.799061105</v>
      </c>
      <c r="K98" s="641">
        <f t="shared" si="18"/>
        <v>184697963.85635957</v>
      </c>
      <c r="L98" s="641">
        <f t="shared" si="18"/>
        <v>192440896.13464612</v>
      </c>
      <c r="M98" s="641">
        <f t="shared" si="18"/>
        <v>194195820.4482834</v>
      </c>
      <c r="N98" s="641">
        <f t="shared" si="18"/>
        <v>208797830.50293916</v>
      </c>
      <c r="O98" s="641">
        <f t="shared" si="18"/>
        <v>211034652.57447743</v>
      </c>
      <c r="P98" s="641">
        <f t="shared" si="18"/>
        <v>213498304.63236031</v>
      </c>
      <c r="Q98" s="641">
        <f t="shared" si="18"/>
        <v>215927926.83010688</v>
      </c>
    </row>
    <row r="99" spans="1:18" s="267" customFormat="1" x14ac:dyDescent="0.25"/>
    <row r="100" spans="1:18" s="267" customFormat="1" ht="15" customHeight="1" x14ac:dyDescent="0.25">
      <c r="A100" s="918" t="s">
        <v>299</v>
      </c>
      <c r="B100" s="918"/>
      <c r="C100" s="918"/>
      <c r="D100" s="181">
        <v>2019</v>
      </c>
      <c r="E100" s="181">
        <v>2020</v>
      </c>
      <c r="F100" s="181">
        <v>2021</v>
      </c>
      <c r="G100" s="181">
        <v>2022</v>
      </c>
      <c r="H100" s="181">
        <v>2023</v>
      </c>
      <c r="I100" s="181">
        <v>2024</v>
      </c>
      <c r="J100" s="181">
        <v>2025</v>
      </c>
      <c r="K100" s="181">
        <v>2026</v>
      </c>
      <c r="L100" s="181">
        <v>2027</v>
      </c>
      <c r="M100" s="181">
        <v>2028</v>
      </c>
      <c r="N100" s="181">
        <v>2029</v>
      </c>
      <c r="O100" s="181">
        <v>2030</v>
      </c>
      <c r="P100" s="181">
        <v>2031</v>
      </c>
      <c r="Q100" s="181">
        <v>2032</v>
      </c>
    </row>
    <row r="101" spans="1:18" s="267" customFormat="1" ht="15.75" thickBot="1" x14ac:dyDescent="0.3">
      <c r="A101" s="889" t="s">
        <v>145</v>
      </c>
      <c r="B101" s="889"/>
      <c r="C101" s="889"/>
      <c r="D101" s="639">
        <f>D97</f>
        <v>0</v>
      </c>
      <c r="E101" s="639">
        <f t="shared" ref="E101:Q101" si="19">E97</f>
        <v>14899592.133877549</v>
      </c>
      <c r="F101" s="639">
        <f t="shared" si="19"/>
        <v>14899592.133877549</v>
      </c>
      <c r="G101" s="639">
        <f t="shared" si="19"/>
        <v>42155102.337959185</v>
      </c>
      <c r="H101" s="639">
        <f t="shared" si="19"/>
        <v>42155102.337959185</v>
      </c>
      <c r="I101" s="639">
        <f t="shared" si="19"/>
        <v>86006128.246834353</v>
      </c>
      <c r="J101" s="639">
        <f t="shared" si="19"/>
        <v>86355098.799061105</v>
      </c>
      <c r="K101" s="639">
        <f t="shared" si="19"/>
        <v>184697963.85635957</v>
      </c>
      <c r="L101" s="639">
        <f t="shared" si="19"/>
        <v>192440896.13464612</v>
      </c>
      <c r="M101" s="639">
        <f t="shared" si="19"/>
        <v>194195820.4482834</v>
      </c>
      <c r="N101" s="639">
        <f t="shared" si="19"/>
        <v>208797830.50293916</v>
      </c>
      <c r="O101" s="639">
        <f t="shared" si="19"/>
        <v>211034652.57447743</v>
      </c>
      <c r="P101" s="639">
        <f t="shared" si="19"/>
        <v>213498304.63236031</v>
      </c>
      <c r="Q101" s="639">
        <f t="shared" si="19"/>
        <v>215927926.83010688</v>
      </c>
    </row>
    <row r="102" spans="1:18" s="267" customFormat="1" ht="15.75" thickTop="1" x14ac:dyDescent="0.25">
      <c r="A102" s="912" t="s">
        <v>75</v>
      </c>
      <c r="B102" s="912"/>
      <c r="C102" s="912"/>
      <c r="D102" s="641">
        <f t="shared" ref="D102:Q102" si="20">SUM(D101:D101)</f>
        <v>0</v>
      </c>
      <c r="E102" s="641">
        <f t="shared" si="20"/>
        <v>14899592.133877549</v>
      </c>
      <c r="F102" s="641">
        <f t="shared" si="20"/>
        <v>14899592.133877549</v>
      </c>
      <c r="G102" s="641">
        <f t="shared" si="20"/>
        <v>42155102.337959185</v>
      </c>
      <c r="H102" s="641">
        <f t="shared" si="20"/>
        <v>42155102.337959185</v>
      </c>
      <c r="I102" s="641">
        <f t="shared" si="20"/>
        <v>86006128.246834353</v>
      </c>
      <c r="J102" s="641">
        <f t="shared" si="20"/>
        <v>86355098.799061105</v>
      </c>
      <c r="K102" s="641">
        <f t="shared" si="20"/>
        <v>184697963.85635957</v>
      </c>
      <c r="L102" s="641">
        <f t="shared" si="20"/>
        <v>192440896.13464612</v>
      </c>
      <c r="M102" s="641">
        <f t="shared" si="20"/>
        <v>194195820.4482834</v>
      </c>
      <c r="N102" s="641">
        <f t="shared" si="20"/>
        <v>208797830.50293916</v>
      </c>
      <c r="O102" s="641">
        <f t="shared" si="20"/>
        <v>211034652.57447743</v>
      </c>
      <c r="P102" s="641">
        <f t="shared" si="20"/>
        <v>213498304.63236031</v>
      </c>
      <c r="Q102" s="641">
        <f t="shared" si="20"/>
        <v>215927926.83010688</v>
      </c>
    </row>
    <row r="103" spans="1:18" s="267" customFormat="1" x14ac:dyDescent="0.25"/>
    <row r="104" spans="1:18" s="267" customFormat="1" x14ac:dyDescent="0.25">
      <c r="A104" s="918" t="s">
        <v>905</v>
      </c>
      <c r="B104" s="918"/>
      <c r="C104" s="918"/>
      <c r="D104" s="181">
        <v>2019</v>
      </c>
      <c r="E104" s="181">
        <v>2020</v>
      </c>
      <c r="F104" s="181">
        <v>2021</v>
      </c>
      <c r="G104" s="181">
        <v>2022</v>
      </c>
      <c r="H104" s="181">
        <v>2023</v>
      </c>
      <c r="I104" s="181">
        <v>2024</v>
      </c>
      <c r="J104" s="181">
        <v>2025</v>
      </c>
      <c r="K104" s="181">
        <v>2026</v>
      </c>
      <c r="L104" s="181">
        <v>2027</v>
      </c>
      <c r="M104" s="181">
        <v>2028</v>
      </c>
      <c r="N104" s="181">
        <v>2029</v>
      </c>
      <c r="O104" s="181">
        <v>2030</v>
      </c>
      <c r="P104" s="181">
        <v>2031</v>
      </c>
      <c r="Q104" s="181">
        <v>2032</v>
      </c>
    </row>
    <row r="105" spans="1:18" s="267" customFormat="1" x14ac:dyDescent="0.25">
      <c r="A105" s="906" t="s">
        <v>520</v>
      </c>
      <c r="B105" s="907"/>
      <c r="C105" s="908"/>
      <c r="D105" s="631">
        <f t="shared" ref="D105:Q105" si="21">SUM(D51:D66)</f>
        <v>0</v>
      </c>
      <c r="E105" s="631">
        <f t="shared" si="21"/>
        <v>14899592.133877549</v>
      </c>
      <c r="F105" s="631">
        <f t="shared" si="21"/>
        <v>14899592.133877549</v>
      </c>
      <c r="G105" s="631">
        <f t="shared" si="21"/>
        <v>14899592.133877549</v>
      </c>
      <c r="H105" s="631">
        <f t="shared" si="21"/>
        <v>14899592.133877549</v>
      </c>
      <c r="I105" s="631">
        <f t="shared" si="21"/>
        <v>58750618.042752713</v>
      </c>
      <c r="J105" s="631">
        <f t="shared" si="21"/>
        <v>59099588.594979465</v>
      </c>
      <c r="K105" s="631">
        <f t="shared" si="21"/>
        <v>59584004.562219799</v>
      </c>
      <c r="L105" s="631">
        <f t="shared" si="21"/>
        <v>66291537.125389546</v>
      </c>
      <c r="M105" s="631">
        <f t="shared" si="21"/>
        <v>66995816.318336055</v>
      </c>
      <c r="N105" s="631">
        <f t="shared" si="21"/>
        <v>67710531.36449255</v>
      </c>
      <c r="O105" s="631">
        <f t="shared" si="21"/>
        <v>68435904.854566008</v>
      </c>
      <c r="P105" s="631">
        <f t="shared" si="21"/>
        <v>69234836.479165077</v>
      </c>
      <c r="Q105" s="631">
        <f t="shared" si="21"/>
        <v>70022732.644695729</v>
      </c>
    </row>
    <row r="106" spans="1:18" s="267" customFormat="1" ht="15.75" thickBot="1" x14ac:dyDescent="0.3">
      <c r="A106" s="909" t="s">
        <v>566</v>
      </c>
      <c r="B106" s="910"/>
      <c r="C106" s="911"/>
      <c r="D106" s="639">
        <f t="shared" ref="D106:Q106" si="22">SUM(D69:D82)</f>
        <v>0</v>
      </c>
      <c r="E106" s="639">
        <f t="shared" si="22"/>
        <v>0</v>
      </c>
      <c r="F106" s="639">
        <f t="shared" si="22"/>
        <v>0</v>
      </c>
      <c r="G106" s="639">
        <f t="shared" si="22"/>
        <v>27255510.204081632</v>
      </c>
      <c r="H106" s="639">
        <f t="shared" si="22"/>
        <v>27255510.204081632</v>
      </c>
      <c r="I106" s="639">
        <f t="shared" si="22"/>
        <v>27255510.204081632</v>
      </c>
      <c r="J106" s="639">
        <f t="shared" si="22"/>
        <v>27255510.204081632</v>
      </c>
      <c r="K106" s="639">
        <f t="shared" si="22"/>
        <v>125113959.29413979</v>
      </c>
      <c r="L106" s="639">
        <f t="shared" si="22"/>
        <v>126149359.00925662</v>
      </c>
      <c r="M106" s="639">
        <f t="shared" si="22"/>
        <v>127200004.12994738</v>
      </c>
      <c r="N106" s="639">
        <f t="shared" si="22"/>
        <v>141087299.13844663</v>
      </c>
      <c r="O106" s="639">
        <f t="shared" si="22"/>
        <v>142598747.71991146</v>
      </c>
      <c r="P106" s="639">
        <f t="shared" si="22"/>
        <v>144263468.15319526</v>
      </c>
      <c r="Q106" s="639">
        <f t="shared" si="22"/>
        <v>145905194.18541116</v>
      </c>
    </row>
    <row r="107" spans="1:18" s="267" customFormat="1" ht="15.75" thickTop="1" x14ac:dyDescent="0.25">
      <c r="A107" s="912" t="s">
        <v>75</v>
      </c>
      <c r="B107" s="912"/>
      <c r="C107" s="912"/>
      <c r="D107" s="641">
        <f t="shared" ref="D107:Q107" si="23">SUM(D105:D106)</f>
        <v>0</v>
      </c>
      <c r="E107" s="641">
        <f t="shared" si="23"/>
        <v>14899592.133877549</v>
      </c>
      <c r="F107" s="641">
        <f t="shared" si="23"/>
        <v>14899592.133877549</v>
      </c>
      <c r="G107" s="641">
        <f t="shared" si="23"/>
        <v>42155102.337959185</v>
      </c>
      <c r="H107" s="641">
        <f t="shared" si="23"/>
        <v>42155102.337959185</v>
      </c>
      <c r="I107" s="641">
        <f t="shared" si="23"/>
        <v>86006128.246834338</v>
      </c>
      <c r="J107" s="641">
        <f t="shared" si="23"/>
        <v>86355098.79906109</v>
      </c>
      <c r="K107" s="641">
        <f t="shared" si="23"/>
        <v>184697963.8563596</v>
      </c>
      <c r="L107" s="641">
        <f t="shared" si="23"/>
        <v>192440896.13464618</v>
      </c>
      <c r="M107" s="641">
        <f t="shared" si="23"/>
        <v>194195820.44828343</v>
      </c>
      <c r="N107" s="641">
        <f t="shared" si="23"/>
        <v>208797830.50293916</v>
      </c>
      <c r="O107" s="641">
        <f t="shared" si="23"/>
        <v>211034652.57447746</v>
      </c>
      <c r="P107" s="641">
        <f t="shared" si="23"/>
        <v>213498304.63236034</v>
      </c>
      <c r="Q107" s="641">
        <f t="shared" si="23"/>
        <v>215927926.83010688</v>
      </c>
    </row>
    <row r="108" spans="1:18" s="267" customFormat="1" x14ac:dyDescent="0.25">
      <c r="A108" s="342" t="s">
        <v>848</v>
      </c>
      <c r="B108" s="342"/>
      <c r="C108" s="342"/>
    </row>
    <row r="109" spans="1:18" x14ac:dyDescent="0.25">
      <c r="Q109" s="250"/>
    </row>
  </sheetData>
  <sheetProtection algorithmName="SHA-512" hashValue="kq1Z/7V/99Oiukuo5o98+7lv/TxuaOWt40JLRWztnn63QfvxpNx9eoY5uCHvfCqjx9N3/Xio/T4wEMFQLscz6Q==" saltValue="8fFG6YqLbVr38nabtKToAw==" spinCount="100000" sheet="1" objects="1" scenarios="1"/>
  <mergeCells count="60">
    <mergeCell ref="B1:D1"/>
    <mergeCell ref="B2:D2"/>
    <mergeCell ref="B3:D3"/>
    <mergeCell ref="A15:B15"/>
    <mergeCell ref="A16:B16"/>
    <mergeCell ref="A11:B11"/>
    <mergeCell ref="A12:B12"/>
    <mergeCell ref="A13:B13"/>
    <mergeCell ref="C10:D10"/>
    <mergeCell ref="C13:D13"/>
    <mergeCell ref="A9:B9"/>
    <mergeCell ref="C15:D15"/>
    <mergeCell ref="A10:B10"/>
    <mergeCell ref="C9:D9"/>
    <mergeCell ref="C16:D16"/>
    <mergeCell ref="C11:D11"/>
    <mergeCell ref="A46:B46"/>
    <mergeCell ref="A47:B47"/>
    <mergeCell ref="A42:B42"/>
    <mergeCell ref="A26:B26"/>
    <mergeCell ref="A27:B27"/>
    <mergeCell ref="A28:B28"/>
    <mergeCell ref="A34:B34"/>
    <mergeCell ref="A32:B32"/>
    <mergeCell ref="A33:B33"/>
    <mergeCell ref="A29:B29"/>
    <mergeCell ref="A30:B30"/>
    <mergeCell ref="A45:B45"/>
    <mergeCell ref="C12:D12"/>
    <mergeCell ref="C14:D14"/>
    <mergeCell ref="A24:B24"/>
    <mergeCell ref="A14:B14"/>
    <mergeCell ref="C17:D17"/>
    <mergeCell ref="C23:D23"/>
    <mergeCell ref="A19:B19"/>
    <mergeCell ref="C19:D19"/>
    <mergeCell ref="A22:B22"/>
    <mergeCell ref="A17:B17"/>
    <mergeCell ref="A18:B18"/>
    <mergeCell ref="C22:D22"/>
    <mergeCell ref="C24:D24"/>
    <mergeCell ref="A23:B23"/>
    <mergeCell ref="C20:D20"/>
    <mergeCell ref="A20:B20"/>
    <mergeCell ref="C18:D18"/>
    <mergeCell ref="A105:C105"/>
    <mergeCell ref="A106:C106"/>
    <mergeCell ref="A107:C107"/>
    <mergeCell ref="A36:B36"/>
    <mergeCell ref="A35:B35"/>
    <mergeCell ref="A39:B39"/>
    <mergeCell ref="A40:B40"/>
    <mergeCell ref="A38:B38"/>
    <mergeCell ref="A104:C104"/>
    <mergeCell ref="A96:C96"/>
    <mergeCell ref="A101:C101"/>
    <mergeCell ref="A102:C102"/>
    <mergeCell ref="A98:C98"/>
    <mergeCell ref="A100:C100"/>
    <mergeCell ref="A97:C97"/>
  </mergeCells>
  <pageMargins left="0.7" right="0.7" top="0.75" bottom="0.75" header="0.3" footer="0.3"/>
  <pageSetup paperSize="5" pageOrder="overThenDown" orientation="landscape" r:id="rId1"/>
  <rowBreaks count="4" manualBreakCount="4">
    <brk id="25" max="16383" man="1"/>
    <brk id="48" max="16383" man="1"/>
    <brk id="67" max="16383" man="1"/>
    <brk id="94"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theme="9" tint="0.59999389629810485"/>
  </sheetPr>
  <dimension ref="A1:Q153"/>
  <sheetViews>
    <sheetView zoomScaleNormal="100" zoomScaleSheetLayoutView="80" workbookViewId="0">
      <selection activeCell="D15" sqref="D15"/>
    </sheetView>
  </sheetViews>
  <sheetFormatPr defaultColWidth="9.140625" defaultRowHeight="15" x14ac:dyDescent="0.25"/>
  <cols>
    <col min="1" max="1" width="57.85546875" style="1" customWidth="1"/>
    <col min="2" max="2" width="11.85546875" style="1" customWidth="1"/>
    <col min="3" max="3" width="18.42578125" style="1" customWidth="1"/>
    <col min="4" max="4" width="12.7109375" style="1" customWidth="1"/>
    <col min="5" max="6" width="13" style="1" bestFit="1" customWidth="1"/>
    <col min="7" max="7" width="14.140625" style="1" bestFit="1" customWidth="1"/>
    <col min="8" max="8" width="13" style="1" bestFit="1" customWidth="1"/>
    <col min="9" max="10" width="13.140625" style="1" bestFit="1" customWidth="1"/>
    <col min="11" max="12" width="14.28515625" style="1" bestFit="1" customWidth="1"/>
    <col min="13" max="13" width="13.85546875" style="1" bestFit="1" customWidth="1"/>
    <col min="14" max="17" width="13.7109375" style="1" bestFit="1" customWidth="1"/>
    <col min="18" max="16384" width="9.140625" style="1"/>
  </cols>
  <sheetData>
    <row r="1" spans="1:13" ht="18.75" x14ac:dyDescent="0.3">
      <c r="A1" s="2" t="s">
        <v>38</v>
      </c>
      <c r="B1" s="754" t="s">
        <v>386</v>
      </c>
      <c r="C1" s="754"/>
      <c r="D1" s="754"/>
    </row>
    <row r="2" spans="1:13" x14ac:dyDescent="0.25">
      <c r="B2" s="818" t="s">
        <v>379</v>
      </c>
      <c r="C2" s="818"/>
      <c r="D2" s="818"/>
    </row>
    <row r="3" spans="1:13" x14ac:dyDescent="0.25">
      <c r="B3" s="947" t="s">
        <v>375</v>
      </c>
      <c r="C3" s="948"/>
      <c r="D3" s="949"/>
    </row>
    <row r="5" spans="1:13" ht="15.75" x14ac:dyDescent="0.25">
      <c r="A5" s="15" t="s">
        <v>262</v>
      </c>
    </row>
    <row r="6" spans="1:13" x14ac:dyDescent="0.25">
      <c r="A6" s="41" t="s">
        <v>24</v>
      </c>
      <c r="B6" s="820" t="s">
        <v>15</v>
      </c>
      <c r="C6" s="820"/>
      <c r="D6" s="41" t="s">
        <v>25</v>
      </c>
      <c r="E6" s="267"/>
      <c r="I6" s="951" t="s">
        <v>763</v>
      </c>
      <c r="J6" s="951"/>
      <c r="K6" s="951"/>
      <c r="L6" s="951"/>
      <c r="M6" s="951"/>
    </row>
    <row r="7" spans="1:13" ht="30" customHeight="1" x14ac:dyDescent="0.25">
      <c r="A7" s="49" t="s">
        <v>485</v>
      </c>
      <c r="B7" s="950" t="str">
        <f>'Cost Inputs'!B116</f>
        <v>Cost per berth upgrade ($)</v>
      </c>
      <c r="C7" s="950"/>
      <c r="D7" s="85">
        <f>'Cost Inputs'!D116</f>
        <v>7010813.2800000003</v>
      </c>
      <c r="E7" s="267"/>
      <c r="I7" s="714" t="s">
        <v>128</v>
      </c>
      <c r="J7" s="713" t="s">
        <v>773</v>
      </c>
      <c r="K7" s="714" t="s">
        <v>772</v>
      </c>
      <c r="L7" s="952" t="s">
        <v>112</v>
      </c>
      <c r="M7" s="953"/>
    </row>
    <row r="8" spans="1:13" ht="30" x14ac:dyDescent="0.25">
      <c r="A8" s="49" t="s">
        <v>458</v>
      </c>
      <c r="B8" s="950" t="str">
        <f>'Cost Inputs'!B117</f>
        <v>Cost per new vault ($)</v>
      </c>
      <c r="C8" s="950"/>
      <c r="D8" s="85">
        <f>'Cost Inputs'!D117</f>
        <v>1993254.7500000002</v>
      </c>
      <c r="E8" s="267"/>
      <c r="I8" s="58" t="s">
        <v>762</v>
      </c>
      <c r="J8" s="271">
        <f>'Cost Inputs'!B86</f>
        <v>500000</v>
      </c>
      <c r="K8" s="271">
        <f>'Cost Inputs'!B95</f>
        <v>500000</v>
      </c>
      <c r="L8" s="954" t="s">
        <v>767</v>
      </c>
      <c r="M8" s="954"/>
    </row>
    <row r="9" spans="1:13" x14ac:dyDescent="0.25">
      <c r="A9" s="49" t="s">
        <v>484</v>
      </c>
      <c r="B9" s="950" t="str">
        <f>'Cost Inputs'!B118</f>
        <v>Cost per berth upgrade ($)</v>
      </c>
      <c r="C9" s="950"/>
      <c r="D9" s="85">
        <f>'Cost Inputs'!D118</f>
        <v>83200000</v>
      </c>
      <c r="E9" s="267"/>
      <c r="I9" s="647" t="s">
        <v>738</v>
      </c>
      <c r="J9" s="271">
        <f>'Cost Inputs'!B89</f>
        <v>3837999.96</v>
      </c>
      <c r="K9" s="271">
        <f>'Cost Inputs'!B98</f>
        <v>3837999.96</v>
      </c>
      <c r="L9" s="954" t="s">
        <v>767</v>
      </c>
      <c r="M9" s="954"/>
    </row>
    <row r="10" spans="1:13" x14ac:dyDescent="0.25">
      <c r="A10" s="610" t="s">
        <v>783</v>
      </c>
      <c r="B10" s="950" t="str">
        <f>'Cost Inputs'!B119</f>
        <v>Cost per berth upgrade ($)</v>
      </c>
      <c r="C10" s="950"/>
      <c r="D10" s="85">
        <f>'Cost Inputs'!D119</f>
        <v>31983333</v>
      </c>
      <c r="E10" s="267"/>
      <c r="I10" s="58" t="s">
        <v>739</v>
      </c>
      <c r="J10" s="271">
        <f>'Cost Inputs'!B92</f>
        <v>1279333.32</v>
      </c>
      <c r="K10" s="271">
        <f>'Cost Inputs'!B101</f>
        <v>1279333.32</v>
      </c>
      <c r="L10" s="954" t="s">
        <v>767</v>
      </c>
      <c r="M10" s="954"/>
    </row>
    <row r="11" spans="1:13" x14ac:dyDescent="0.25">
      <c r="A11" s="49" t="s">
        <v>459</v>
      </c>
      <c r="B11" s="950" t="str">
        <f>'Cost Inputs'!B120</f>
        <v>percent</v>
      </c>
      <c r="C11" s="950"/>
      <c r="D11" s="322">
        <f>'Cost Inputs'!D120</f>
        <v>0.5</v>
      </c>
      <c r="E11" s="267"/>
      <c r="F11" s="267"/>
      <c r="G11" s="267"/>
      <c r="H11" s="267"/>
      <c r="I11" s="267"/>
      <c r="J11" s="267"/>
    </row>
    <row r="12" spans="1:13" x14ac:dyDescent="0.25">
      <c r="A12" s="49" t="s">
        <v>150</v>
      </c>
      <c r="B12" s="950" t="str">
        <f>'Cost Inputs'!B134</f>
        <v>fraction</v>
      </c>
      <c r="C12" s="950"/>
      <c r="D12" s="243">
        <f>'Cost Inputs'!D134</f>
        <v>8.0199999999999994E-2</v>
      </c>
      <c r="E12" s="267"/>
      <c r="F12" s="267"/>
      <c r="G12" s="267"/>
      <c r="H12" s="267"/>
      <c r="I12" s="267"/>
      <c r="J12" s="267"/>
    </row>
    <row r="13" spans="1:13" x14ac:dyDescent="0.25">
      <c r="A13" s="49" t="s">
        <v>460</v>
      </c>
      <c r="B13" s="950" t="str">
        <f>'Cost Inputs'!B125</f>
        <v>Cost per reel ($)</v>
      </c>
      <c r="C13" s="950"/>
      <c r="D13" s="85">
        <f>'Cost Inputs'!D125</f>
        <v>250000</v>
      </c>
      <c r="E13" s="267"/>
      <c r="F13" s="267"/>
      <c r="G13" s="267"/>
      <c r="H13" s="267"/>
      <c r="I13" s="267"/>
      <c r="J13" s="267"/>
    </row>
    <row r="14" spans="1:13" ht="30" x14ac:dyDescent="0.25">
      <c r="A14" s="610" t="s">
        <v>781</v>
      </c>
      <c r="B14" s="950" t="str">
        <f>'Cost Inputs'!B127</f>
        <v>Annual Cost per berth upgrade ($)</v>
      </c>
      <c r="C14" s="950"/>
      <c r="D14" s="85">
        <f>'Cost Inputs'!D127</f>
        <v>24285</v>
      </c>
    </row>
    <row r="15" spans="1:13" ht="30" customHeight="1" x14ac:dyDescent="0.25">
      <c r="A15" s="610" t="s">
        <v>782</v>
      </c>
      <c r="B15" s="946" t="str">
        <f>'Cost Inputs'!B128</f>
        <v>Annual Cost per berth upgrade ($)</v>
      </c>
      <c r="C15" s="946"/>
      <c r="D15" s="271">
        <f>'Cost Inputs'!D128</f>
        <v>50000</v>
      </c>
      <c r="H15" s="648"/>
      <c r="I15" s="648"/>
      <c r="J15" s="648"/>
      <c r="K15" s="648"/>
    </row>
    <row r="16" spans="1:13" x14ac:dyDescent="0.25">
      <c r="A16" s="21"/>
      <c r="B16" s="21"/>
    </row>
    <row r="17" spans="1:15" ht="15" customHeight="1" x14ac:dyDescent="0.25">
      <c r="A17" s="944" t="s">
        <v>107</v>
      </c>
      <c r="B17" s="934" t="s">
        <v>903</v>
      </c>
      <c r="C17" s="935"/>
      <c r="D17" s="935"/>
      <c r="E17" s="936"/>
      <c r="I17" s="930" t="s">
        <v>107</v>
      </c>
      <c r="J17" s="931"/>
      <c r="K17" s="932"/>
      <c r="L17" s="934" t="s">
        <v>36</v>
      </c>
      <c r="M17" s="935"/>
      <c r="N17" s="935"/>
      <c r="O17" s="936"/>
    </row>
    <row r="18" spans="1:15" ht="30" customHeight="1" x14ac:dyDescent="0.25">
      <c r="A18" s="945"/>
      <c r="B18" s="933" t="s">
        <v>191</v>
      </c>
      <c r="C18" s="838"/>
      <c r="D18" s="838" t="s">
        <v>563</v>
      </c>
      <c r="E18" s="838"/>
      <c r="I18" s="930"/>
      <c r="J18" s="931"/>
      <c r="K18" s="932"/>
      <c r="L18" s="933" t="s">
        <v>191</v>
      </c>
      <c r="M18" s="838"/>
      <c r="N18" s="855" t="s">
        <v>563</v>
      </c>
      <c r="O18" s="838"/>
    </row>
    <row r="19" spans="1:15" ht="60" x14ac:dyDescent="0.25">
      <c r="A19" s="39" t="s">
        <v>445</v>
      </c>
      <c r="B19" s="104" t="s">
        <v>10</v>
      </c>
      <c r="C19" s="151" t="s">
        <v>11</v>
      </c>
      <c r="D19" s="151" t="s">
        <v>10</v>
      </c>
      <c r="E19" s="151" t="s">
        <v>11</v>
      </c>
      <c r="I19" s="930" t="s">
        <v>445</v>
      </c>
      <c r="J19" s="931"/>
      <c r="K19" s="932"/>
      <c r="L19" s="197" t="s">
        <v>10</v>
      </c>
      <c r="M19" s="195" t="s">
        <v>11</v>
      </c>
      <c r="N19" s="151" t="s">
        <v>10</v>
      </c>
      <c r="O19" s="151" t="s">
        <v>11</v>
      </c>
    </row>
    <row r="20" spans="1:15" x14ac:dyDescent="0.25">
      <c r="A20" s="367" t="s">
        <v>0</v>
      </c>
      <c r="B20" s="172">
        <f>Apportion!B8</f>
        <v>1</v>
      </c>
      <c r="C20" s="163">
        <f>Apportion!C8</f>
        <v>0</v>
      </c>
      <c r="D20" s="163">
        <f>Apportion!D8</f>
        <v>1</v>
      </c>
      <c r="E20" s="163">
        <f>Apportion!E8</f>
        <v>0</v>
      </c>
      <c r="I20" s="823" t="s">
        <v>0</v>
      </c>
      <c r="J20" s="928"/>
      <c r="K20" s="929"/>
      <c r="L20" s="172">
        <f>Apportion!B22</f>
        <v>1</v>
      </c>
      <c r="M20" s="163">
        <f>Apportion!C22</f>
        <v>0</v>
      </c>
      <c r="N20" s="163">
        <f>Apportion!D22</f>
        <v>1</v>
      </c>
      <c r="O20" s="163">
        <f>Apportion!E22</f>
        <v>0</v>
      </c>
    </row>
    <row r="21" spans="1:15" x14ac:dyDescent="0.25">
      <c r="A21" s="367" t="s">
        <v>1</v>
      </c>
      <c r="B21" s="172">
        <f>Apportion!B9</f>
        <v>1</v>
      </c>
      <c r="C21" s="163">
        <f>Apportion!C9</f>
        <v>0</v>
      </c>
      <c r="D21" s="163">
        <f>Apportion!D9</f>
        <v>0</v>
      </c>
      <c r="E21" s="163">
        <f>Apportion!E9</f>
        <v>1</v>
      </c>
      <c r="I21" s="823" t="s">
        <v>1</v>
      </c>
      <c r="J21" s="928"/>
      <c r="K21" s="929"/>
      <c r="L21" s="172">
        <f>Apportion!B23</f>
        <v>1</v>
      </c>
      <c r="M21" s="163">
        <f>Apportion!C23</f>
        <v>0</v>
      </c>
      <c r="N21" s="163">
        <f>Apportion!D23</f>
        <v>0</v>
      </c>
      <c r="O21" s="163">
        <f>Apportion!E23</f>
        <v>1</v>
      </c>
    </row>
    <row r="22" spans="1:15" x14ac:dyDescent="0.25">
      <c r="A22" s="367" t="s">
        <v>2</v>
      </c>
      <c r="B22" s="172">
        <f>Apportion!B10</f>
        <v>1</v>
      </c>
      <c r="C22" s="163">
        <f>Apportion!C10</f>
        <v>0</v>
      </c>
      <c r="D22" s="163">
        <f>Apportion!D10</f>
        <v>1</v>
      </c>
      <c r="E22" s="163">
        <f>Apportion!E10</f>
        <v>0</v>
      </c>
      <c r="I22" s="823" t="s">
        <v>2</v>
      </c>
      <c r="J22" s="928"/>
      <c r="K22" s="929"/>
      <c r="L22" s="172">
        <f>Apportion!B24</f>
        <v>1</v>
      </c>
      <c r="M22" s="163">
        <f>Apportion!C24</f>
        <v>0</v>
      </c>
      <c r="N22" s="163">
        <f>Apportion!D24</f>
        <v>1</v>
      </c>
      <c r="O22" s="163">
        <f>Apportion!E24</f>
        <v>0</v>
      </c>
    </row>
    <row r="23" spans="1:15" x14ac:dyDescent="0.25">
      <c r="A23" s="367" t="s">
        <v>3</v>
      </c>
      <c r="B23" s="172">
        <f>Apportion!B11</f>
        <v>1</v>
      </c>
      <c r="C23" s="163">
        <f>Apportion!C11</f>
        <v>0</v>
      </c>
      <c r="D23" s="163">
        <f>Apportion!D11</f>
        <v>1</v>
      </c>
      <c r="E23" s="163">
        <f>Apportion!E11</f>
        <v>0</v>
      </c>
      <c r="I23" s="823" t="s">
        <v>3</v>
      </c>
      <c r="J23" s="928"/>
      <c r="K23" s="929"/>
      <c r="L23" s="172">
        <f>Apportion!B25</f>
        <v>1</v>
      </c>
      <c r="M23" s="163">
        <f>Apportion!C25</f>
        <v>0</v>
      </c>
      <c r="N23" s="163">
        <f>Apportion!D25</f>
        <v>1</v>
      </c>
      <c r="O23" s="163">
        <f>Apportion!E25</f>
        <v>0</v>
      </c>
    </row>
    <row r="24" spans="1:15" x14ac:dyDescent="0.25">
      <c r="A24" s="367" t="s">
        <v>4</v>
      </c>
      <c r="B24" s="172">
        <f>Apportion!B12</f>
        <v>1</v>
      </c>
      <c r="C24" s="163">
        <f>Apportion!C12</f>
        <v>0</v>
      </c>
      <c r="D24" s="163">
        <f>Apportion!D12</f>
        <v>1</v>
      </c>
      <c r="E24" s="163">
        <f>Apportion!E12</f>
        <v>0</v>
      </c>
      <c r="I24" s="823" t="s">
        <v>4</v>
      </c>
      <c r="J24" s="928"/>
      <c r="K24" s="929"/>
      <c r="L24" s="172">
        <f>Apportion!B26</f>
        <v>1</v>
      </c>
      <c r="M24" s="163">
        <f>Apportion!C26</f>
        <v>0</v>
      </c>
      <c r="N24" s="163">
        <f>Apportion!D26</f>
        <v>1</v>
      </c>
      <c r="O24" s="163">
        <f>Apportion!E26</f>
        <v>0</v>
      </c>
    </row>
    <row r="25" spans="1:15" x14ac:dyDescent="0.25">
      <c r="A25" s="367" t="s">
        <v>5</v>
      </c>
      <c r="B25" s="172">
        <f>Apportion!B13</f>
        <v>1</v>
      </c>
      <c r="C25" s="163">
        <f>Apportion!C13</f>
        <v>0</v>
      </c>
      <c r="D25" s="163">
        <f>Apportion!D13</f>
        <v>1</v>
      </c>
      <c r="E25" s="163">
        <f>Apportion!E13</f>
        <v>0</v>
      </c>
      <c r="I25" s="823" t="s">
        <v>5</v>
      </c>
      <c r="J25" s="928"/>
      <c r="K25" s="929"/>
      <c r="L25" s="172">
        <f>Apportion!B27</f>
        <v>1</v>
      </c>
      <c r="M25" s="163">
        <f>Apportion!C27</f>
        <v>0</v>
      </c>
      <c r="N25" s="163">
        <f>Apportion!D27</f>
        <v>1</v>
      </c>
      <c r="O25" s="163">
        <f>Apportion!E27</f>
        <v>0</v>
      </c>
    </row>
    <row r="26" spans="1:15" x14ac:dyDescent="0.25">
      <c r="A26" s="367" t="s">
        <v>530</v>
      </c>
      <c r="B26" s="173"/>
      <c r="C26" s="174"/>
      <c r="D26" s="174"/>
      <c r="E26" s="174"/>
      <c r="I26" s="823" t="s">
        <v>530</v>
      </c>
      <c r="J26" s="928"/>
      <c r="K26" s="929"/>
      <c r="L26" s="172">
        <f>Apportion!B28</f>
        <v>0</v>
      </c>
      <c r="M26" s="163">
        <f>Apportion!C28</f>
        <v>1</v>
      </c>
      <c r="N26" s="163">
        <f>Apportion!D28</f>
        <v>0</v>
      </c>
      <c r="O26" s="163">
        <f>Apportion!E28</f>
        <v>1</v>
      </c>
    </row>
    <row r="27" spans="1:15" x14ac:dyDescent="0.25">
      <c r="A27" s="367" t="s">
        <v>531</v>
      </c>
      <c r="B27" s="173"/>
      <c r="C27" s="174"/>
      <c r="D27" s="174"/>
      <c r="E27" s="174"/>
      <c r="I27" s="823" t="s">
        <v>531</v>
      </c>
      <c r="J27" s="928"/>
      <c r="K27" s="929"/>
      <c r="L27" s="172">
        <f>Apportion!B29</f>
        <v>0</v>
      </c>
      <c r="M27" s="163">
        <f>Apportion!C29</f>
        <v>1</v>
      </c>
      <c r="N27" s="163">
        <f>Apportion!D29</f>
        <v>0</v>
      </c>
      <c r="O27" s="163">
        <f>Apportion!E29</f>
        <v>1</v>
      </c>
    </row>
    <row r="28" spans="1:15" x14ac:dyDescent="0.25">
      <c r="A28" s="367" t="s">
        <v>558</v>
      </c>
      <c r="B28" s="173"/>
      <c r="C28" s="174"/>
      <c r="D28" s="174"/>
      <c r="E28" s="174"/>
      <c r="I28" s="823" t="s">
        <v>558</v>
      </c>
      <c r="J28" s="928"/>
      <c r="K28" s="929"/>
      <c r="L28" s="172">
        <f>Apportion!B30</f>
        <v>0</v>
      </c>
      <c r="M28" s="163">
        <f>Apportion!C30</f>
        <v>1</v>
      </c>
      <c r="N28" s="163">
        <f>Apportion!D30</f>
        <v>0</v>
      </c>
      <c r="O28" s="163">
        <f>Apportion!E30</f>
        <v>1</v>
      </c>
    </row>
    <row r="29" spans="1:15" x14ac:dyDescent="0.25">
      <c r="A29" s="367" t="s">
        <v>559</v>
      </c>
      <c r="B29" s="173"/>
      <c r="C29" s="174"/>
      <c r="D29" s="174"/>
      <c r="E29" s="174"/>
      <c r="I29" s="823" t="s">
        <v>559</v>
      </c>
      <c r="J29" s="928"/>
      <c r="K29" s="929"/>
      <c r="L29" s="172">
        <f>Apportion!B31</f>
        <v>0</v>
      </c>
      <c r="M29" s="163">
        <f>Apportion!C31</f>
        <v>1</v>
      </c>
      <c r="N29" s="163">
        <f>Apportion!D31</f>
        <v>0</v>
      </c>
      <c r="O29" s="163">
        <f>Apportion!E31</f>
        <v>1</v>
      </c>
    </row>
    <row r="31" spans="1:15" s="21" customFormat="1" ht="45" x14ac:dyDescent="0.25">
      <c r="A31" s="242" t="s">
        <v>511</v>
      </c>
      <c r="B31" s="192" t="s">
        <v>242</v>
      </c>
      <c r="C31" s="192" t="s">
        <v>246</v>
      </c>
      <c r="D31" s="192" t="s">
        <v>245</v>
      </c>
    </row>
    <row r="32" spans="1:15" s="21" customFormat="1" x14ac:dyDescent="0.25">
      <c r="A32" s="240" t="s">
        <v>81</v>
      </c>
      <c r="B32" s="237"/>
      <c r="C32" s="237"/>
      <c r="D32" s="238"/>
    </row>
    <row r="33" spans="1:11" s="230" customFormat="1" x14ac:dyDescent="0.25">
      <c r="A33" s="13" t="s">
        <v>243</v>
      </c>
      <c r="B33" s="359">
        <f>'Berths, Terminals, Vessels'!G13</f>
        <v>2020</v>
      </c>
      <c r="C33" s="359">
        <f>B33</f>
        <v>2020</v>
      </c>
      <c r="D33" s="375">
        <f>C33</f>
        <v>2020</v>
      </c>
    </row>
    <row r="34" spans="1:11" s="230" customFormat="1" x14ac:dyDescent="0.25">
      <c r="A34" s="13" t="s">
        <v>244</v>
      </c>
      <c r="B34" s="359">
        <f>'Cost Inputs'!D130</f>
        <v>2021</v>
      </c>
      <c r="C34" s="359">
        <f>B34</f>
        <v>2021</v>
      </c>
      <c r="D34" s="193" t="s">
        <v>247</v>
      </c>
    </row>
    <row r="35" spans="1:11" s="230" customFormat="1" x14ac:dyDescent="0.25">
      <c r="A35" s="239" t="s">
        <v>452</v>
      </c>
      <c r="B35" s="236"/>
      <c r="C35" s="236"/>
    </row>
    <row r="36" spans="1:11" s="21" customFormat="1" x14ac:dyDescent="0.25">
      <c r="A36" s="13" t="s">
        <v>0</v>
      </c>
      <c r="B36" s="196">
        <f>'Berths, Terminals, Vessels'!$D13</f>
        <v>0</v>
      </c>
      <c r="C36" s="196">
        <f>'Berths, Terminals, Vessels'!E13</f>
        <v>2</v>
      </c>
      <c r="D36" s="196">
        <f>'Berths, Terminals, Vessels'!F13</f>
        <v>0</v>
      </c>
    </row>
    <row r="37" spans="1:11" s="21" customFormat="1" x14ac:dyDescent="0.25">
      <c r="A37" s="13" t="s">
        <v>1</v>
      </c>
      <c r="B37" s="196">
        <f>'Berths, Terminals, Vessels'!$D14</f>
        <v>0</v>
      </c>
      <c r="C37" s="196">
        <f>'Berths, Terminals, Vessels'!E14</f>
        <v>0</v>
      </c>
      <c r="D37" s="196">
        <f>'Berths, Terminals, Vessels'!F14</f>
        <v>0</v>
      </c>
    </row>
    <row r="38" spans="1:11" s="21" customFormat="1" x14ac:dyDescent="0.25">
      <c r="A38" s="13" t="s">
        <v>2</v>
      </c>
      <c r="B38" s="196">
        <f>'Berths, Terminals, Vessels'!$D15</f>
        <v>0</v>
      </c>
      <c r="C38" s="196">
        <f>'Berths, Terminals, Vessels'!E15</f>
        <v>3</v>
      </c>
      <c r="D38" s="196">
        <f>'Berths, Terminals, Vessels'!F15</f>
        <v>0</v>
      </c>
    </row>
    <row r="39" spans="1:11" s="21" customFormat="1" x14ac:dyDescent="0.25">
      <c r="A39" s="13" t="s">
        <v>4</v>
      </c>
      <c r="B39" s="196">
        <f>'Berths, Terminals, Vessels'!$D16</f>
        <v>0</v>
      </c>
      <c r="C39" s="196">
        <f>'Berths, Terminals, Vessels'!E16</f>
        <v>0</v>
      </c>
      <c r="D39" s="196">
        <f>'Berths, Terminals, Vessels'!F16</f>
        <v>0</v>
      </c>
    </row>
    <row r="40" spans="1:11" s="21" customFormat="1" ht="15.75" thickBot="1" x14ac:dyDescent="0.3">
      <c r="A40" s="235" t="s">
        <v>5</v>
      </c>
      <c r="B40" s="233">
        <f>'Berths, Terminals, Vessels'!$D17</f>
        <v>0</v>
      </c>
      <c r="C40" s="233">
        <f>'Berths, Terminals, Vessels'!E17</f>
        <v>0</v>
      </c>
      <c r="D40" s="233">
        <f>'Berths, Terminals, Vessels'!F17</f>
        <v>0</v>
      </c>
    </row>
    <row r="41" spans="1:11" ht="15.75" thickTop="1" x14ac:dyDescent="0.25">
      <c r="A41" s="234" t="s">
        <v>75</v>
      </c>
      <c r="B41" s="231">
        <f>SUM(B36:B40)</f>
        <v>0</v>
      </c>
      <c r="C41" s="231">
        <f>SUM(C36:C40)</f>
        <v>5</v>
      </c>
      <c r="D41" s="231">
        <f>SUM(D36:D40)</f>
        <v>0</v>
      </c>
    </row>
    <row r="42" spans="1:11" s="21" customFormat="1" x14ac:dyDescent="0.25">
      <c r="A42" s="240" t="s">
        <v>14</v>
      </c>
      <c r="B42" s="237"/>
      <c r="C42" s="237"/>
      <c r="D42" s="238"/>
    </row>
    <row r="43" spans="1:11" s="230" customFormat="1" x14ac:dyDescent="0.25">
      <c r="A43" s="13" t="s">
        <v>243</v>
      </c>
      <c r="B43" s="359">
        <f>'Berths, Terminals, Vessels'!G41</f>
        <v>2020</v>
      </c>
      <c r="C43" s="359">
        <f>B43</f>
        <v>2020</v>
      </c>
      <c r="D43" s="375">
        <f>C43</f>
        <v>2020</v>
      </c>
    </row>
    <row r="44" spans="1:11" s="230" customFormat="1" x14ac:dyDescent="0.25">
      <c r="A44" s="13" t="s">
        <v>244</v>
      </c>
      <c r="B44" s="359">
        <f>'Cost Inputs'!D130</f>
        <v>2021</v>
      </c>
      <c r="C44" s="359">
        <f>B44</f>
        <v>2021</v>
      </c>
      <c r="D44" s="193" t="s">
        <v>247</v>
      </c>
    </row>
    <row r="45" spans="1:11" s="230" customFormat="1" x14ac:dyDescent="0.25">
      <c r="A45" s="239" t="s">
        <v>452</v>
      </c>
      <c r="B45" s="236"/>
      <c r="C45" s="236"/>
    </row>
    <row r="46" spans="1:11" x14ac:dyDescent="0.25">
      <c r="A46" s="13" t="s">
        <v>0</v>
      </c>
      <c r="B46" s="196">
        <f>'Berths, Terminals, Vessels'!$D41</f>
        <v>0</v>
      </c>
      <c r="C46" s="196">
        <f>'Berths, Terminals, Vessels'!E41</f>
        <v>0</v>
      </c>
      <c r="D46" s="196">
        <f>'Berths, Terminals, Vessels'!F41</f>
        <v>0</v>
      </c>
      <c r="F46" s="241"/>
      <c r="G46" s="241"/>
      <c r="H46" s="241"/>
      <c r="I46" s="127"/>
      <c r="J46" s="230"/>
      <c r="K46" s="230"/>
    </row>
    <row r="47" spans="1:11" x14ac:dyDescent="0.25">
      <c r="A47" s="13" t="s">
        <v>1</v>
      </c>
      <c r="B47" s="196">
        <f>'Berths, Terminals, Vessels'!$D42</f>
        <v>0</v>
      </c>
      <c r="C47" s="196">
        <f>'Berths, Terminals, Vessels'!E42</f>
        <v>0</v>
      </c>
      <c r="D47" s="196">
        <f>'Berths, Terminals, Vessels'!F42</f>
        <v>0</v>
      </c>
      <c r="F47" s="230"/>
      <c r="G47" s="230"/>
      <c r="H47" s="230"/>
      <c r="I47" s="230"/>
      <c r="J47" s="230"/>
      <c r="K47" s="230"/>
    </row>
    <row r="48" spans="1:11" x14ac:dyDescent="0.25">
      <c r="A48" s="13" t="s">
        <v>3</v>
      </c>
      <c r="B48" s="196">
        <f>'Berths, Terminals, Vessels'!$D43</f>
        <v>1</v>
      </c>
      <c r="C48" s="196">
        <f>'Berths, Terminals, Vessels'!E43</f>
        <v>0</v>
      </c>
      <c r="D48" s="196">
        <f>'Berths, Terminals, Vessels'!F43</f>
        <v>0</v>
      </c>
      <c r="F48" s="230"/>
      <c r="G48" s="230"/>
      <c r="H48" s="230"/>
      <c r="I48" s="230"/>
      <c r="J48" s="71"/>
    </row>
    <row r="49" spans="1:11" ht="15.75" thickBot="1" x14ac:dyDescent="0.3">
      <c r="A49" s="235" t="s">
        <v>4</v>
      </c>
      <c r="B49" s="233">
        <f>'Berths, Terminals, Vessels'!$D44</f>
        <v>0</v>
      </c>
      <c r="C49" s="233">
        <f>'Berths, Terminals, Vessels'!E44</f>
        <v>0</v>
      </c>
      <c r="D49" s="233">
        <f>'Berths, Terminals, Vessels'!F44</f>
        <v>0</v>
      </c>
      <c r="F49" s="72"/>
      <c r="G49" s="71"/>
      <c r="H49" s="71"/>
      <c r="I49" s="71"/>
      <c r="J49" s="71"/>
    </row>
    <row r="50" spans="1:11" s="18" customFormat="1" ht="15.75" thickTop="1" x14ac:dyDescent="0.25">
      <c r="A50" s="234" t="s">
        <v>75</v>
      </c>
      <c r="B50" s="231">
        <f>SUM(B46:B49)</f>
        <v>1</v>
      </c>
      <c r="C50" s="231">
        <f t="shared" ref="C50:D50" si="0">SUM(C46:C49)</f>
        <v>0</v>
      </c>
      <c r="D50" s="231">
        <f t="shared" si="0"/>
        <v>0</v>
      </c>
      <c r="F50" s="230"/>
      <c r="G50" s="230"/>
      <c r="H50" s="230"/>
      <c r="I50" s="71"/>
      <c r="J50" s="71"/>
      <c r="K50" s="1"/>
    </row>
    <row r="52" spans="1:11" ht="75" x14ac:dyDescent="0.25">
      <c r="A52" s="464" t="s">
        <v>433</v>
      </c>
      <c r="B52" s="192" t="s">
        <v>846</v>
      </c>
      <c r="C52" s="192" t="s">
        <v>512</v>
      </c>
      <c r="D52" s="192" t="s">
        <v>513</v>
      </c>
    </row>
    <row r="53" spans="1:11" x14ac:dyDescent="0.25">
      <c r="A53" s="241"/>
      <c r="C53" s="21"/>
      <c r="D53" s="21"/>
    </row>
    <row r="54" spans="1:11" x14ac:dyDescent="0.25">
      <c r="A54" s="368" t="s">
        <v>243</v>
      </c>
      <c r="B54" s="359">
        <f>'Berths, Terminals, Vessels'!D58</f>
        <v>2024</v>
      </c>
      <c r="C54" s="359">
        <f>'Berths, Terminals, Vessels'!D78</f>
        <v>2024</v>
      </c>
      <c r="D54" s="359">
        <f>'Berths, Terminals, Vessels'!D80</f>
        <v>2026</v>
      </c>
    </row>
    <row r="55" spans="1:11" x14ac:dyDescent="0.25">
      <c r="A55" s="368" t="s">
        <v>244</v>
      </c>
      <c r="B55" s="359">
        <f>'Cost Inputs'!D131</f>
        <v>2025</v>
      </c>
      <c r="C55" s="359">
        <f>'Cost Inputs'!D132</f>
        <v>2027</v>
      </c>
      <c r="D55" s="359">
        <f>'Cost Inputs'!D133</f>
        <v>2029</v>
      </c>
    </row>
    <row r="56" spans="1:11" x14ac:dyDescent="0.25">
      <c r="A56" s="239" t="s">
        <v>452</v>
      </c>
      <c r="B56" s="86"/>
      <c r="C56" s="230"/>
      <c r="D56" s="230"/>
    </row>
    <row r="57" spans="1:11" x14ac:dyDescent="0.25">
      <c r="A57" s="367" t="s">
        <v>0</v>
      </c>
      <c r="B57" s="196">
        <f>'Berths, Terminals, Vessels'!$E58</f>
        <v>4</v>
      </c>
      <c r="C57" s="196">
        <f>'Berths, Terminals, Vessels'!$E78</f>
        <v>7</v>
      </c>
      <c r="D57" s="174"/>
    </row>
    <row r="58" spans="1:11" x14ac:dyDescent="0.25">
      <c r="A58" s="367" t="s">
        <v>1</v>
      </c>
      <c r="B58" s="196">
        <f>'Berths, Terminals, Vessels'!$E59</f>
        <v>4</v>
      </c>
      <c r="C58" s="196">
        <f>'Berths, Terminals, Vessels'!$E79</f>
        <v>6</v>
      </c>
      <c r="D58" s="174"/>
    </row>
    <row r="59" spans="1:11" x14ac:dyDescent="0.25">
      <c r="A59" s="367" t="s">
        <v>3</v>
      </c>
      <c r="B59" s="196">
        <f>'Berths, Terminals, Vessels'!$E60</f>
        <v>1</v>
      </c>
      <c r="C59" s="174"/>
      <c r="D59" s="174"/>
    </row>
    <row r="60" spans="1:11" x14ac:dyDescent="0.25">
      <c r="A60" s="367" t="s">
        <v>4</v>
      </c>
      <c r="B60" s="196">
        <f>'Berths, Terminals, Vessels'!$E61</f>
        <v>5</v>
      </c>
      <c r="C60" s="174"/>
      <c r="D60" s="174"/>
    </row>
    <row r="61" spans="1:11" x14ac:dyDescent="0.25">
      <c r="A61" s="367" t="s">
        <v>530</v>
      </c>
      <c r="B61" s="174"/>
      <c r="C61" s="174"/>
      <c r="D61" s="196">
        <f>'Berths, Terminals, Vessels'!$E80</f>
        <v>1</v>
      </c>
    </row>
    <row r="62" spans="1:11" x14ac:dyDescent="0.25">
      <c r="A62" s="367" t="s">
        <v>5</v>
      </c>
      <c r="B62" s="196">
        <f>'Berths, Terminals, Vessels'!$E62</f>
        <v>4</v>
      </c>
      <c r="C62" s="174"/>
      <c r="D62" s="174"/>
    </row>
    <row r="63" spans="1:11" x14ac:dyDescent="0.25">
      <c r="A63" s="368" t="s">
        <v>531</v>
      </c>
      <c r="B63" s="196">
        <f>'Berths, Terminals, Vessels'!$E63</f>
        <v>1</v>
      </c>
      <c r="C63" s="174"/>
      <c r="D63" s="196">
        <f>'Berths, Terminals, Vessels'!$E81</f>
        <v>7</v>
      </c>
    </row>
    <row r="64" spans="1:11" x14ac:dyDescent="0.25">
      <c r="A64" s="368" t="s">
        <v>558</v>
      </c>
      <c r="B64" s="174"/>
      <c r="C64" s="174"/>
      <c r="D64" s="196">
        <f>'Berths, Terminals, Vessels'!$E82</f>
        <v>6</v>
      </c>
    </row>
    <row r="65" spans="1:17" ht="15.75" thickBot="1" x14ac:dyDescent="0.3">
      <c r="A65" s="369" t="s">
        <v>559</v>
      </c>
      <c r="B65" s="232"/>
      <c r="C65" s="232"/>
      <c r="D65" s="233">
        <f>'Berths, Terminals, Vessels'!$E83</f>
        <v>3</v>
      </c>
    </row>
    <row r="66" spans="1:17" ht="15.75" thickTop="1" x14ac:dyDescent="0.25">
      <c r="A66" s="465" t="s">
        <v>75</v>
      </c>
      <c r="B66" s="231">
        <f>SUM(B57:B65)</f>
        <v>19</v>
      </c>
      <c r="C66" s="231">
        <f>SUM(C57:C65)</f>
        <v>13</v>
      </c>
      <c r="D66" s="231">
        <f>SUM(D57:D65)</f>
        <v>17</v>
      </c>
    </row>
    <row r="68" spans="1:17" s="21" customFormat="1" x14ac:dyDescent="0.25">
      <c r="A68" s="41" t="s">
        <v>236</v>
      </c>
      <c r="B68" s="820" t="s">
        <v>15</v>
      </c>
      <c r="C68" s="820"/>
      <c r="D68" s="194">
        <v>2019</v>
      </c>
      <c r="E68" s="194">
        <v>2020</v>
      </c>
      <c r="F68" s="194">
        <v>2021</v>
      </c>
      <c r="G68" s="194">
        <v>2022</v>
      </c>
      <c r="H68" s="194">
        <v>2023</v>
      </c>
      <c r="I68" s="194">
        <v>2024</v>
      </c>
      <c r="J68" s="194">
        <v>2025</v>
      </c>
      <c r="K68" s="194">
        <v>2026</v>
      </c>
      <c r="L68" s="194">
        <v>2027</v>
      </c>
      <c r="M68" s="194">
        <v>2028</v>
      </c>
      <c r="N68" s="194">
        <v>2029</v>
      </c>
      <c r="O68" s="194">
        <v>2030</v>
      </c>
      <c r="P68" s="194">
        <v>2031</v>
      </c>
      <c r="Q68" s="194">
        <v>2032</v>
      </c>
    </row>
    <row r="69" spans="1:17" x14ac:dyDescent="0.25">
      <c r="A69" s="10" t="s">
        <v>232</v>
      </c>
      <c r="B69" s="834" t="s">
        <v>27</v>
      </c>
      <c r="C69" s="834"/>
      <c r="D69" s="222">
        <f>Growth!$F8</f>
        <v>7.9641297146510415E-2</v>
      </c>
      <c r="E69" s="222">
        <f>Growth!$F9</f>
        <v>0.15256235056907913</v>
      </c>
      <c r="F69" s="222">
        <f>Growth!$F10</f>
        <v>0.19385114943417511</v>
      </c>
      <c r="G69" s="222">
        <f>Growth!$F11</f>
        <v>0.23786367889837565</v>
      </c>
      <c r="H69" s="222">
        <f>Growth!$F12</f>
        <v>0.28465423170158566</v>
      </c>
      <c r="I69" s="222">
        <f>Growth!$F13</f>
        <v>0.33429164292179847</v>
      </c>
      <c r="J69" s="222">
        <f>Growth!$F14</f>
        <v>0.41005488530447487</v>
      </c>
      <c r="K69" s="222">
        <f>Growth!$F15</f>
        <v>0.44448774785521072</v>
      </c>
      <c r="L69" s="222">
        <f>Growth!$F16</f>
        <v>0.48217019049045101</v>
      </c>
      <c r="M69" s="222">
        <f>Growth!$F17</f>
        <v>0.5230248906889251</v>
      </c>
      <c r="N69" s="222">
        <f>Growth!$F18</f>
        <v>0.56700845918311726</v>
      </c>
      <c r="O69" s="222">
        <f>Growth!$F19</f>
        <v>0.61410530272263486</v>
      </c>
      <c r="P69" s="222">
        <f>Growth!$F20</f>
        <v>0.69124079785891168</v>
      </c>
      <c r="Q69" s="222">
        <f>Growth!$F21</f>
        <v>0.77207653050777736</v>
      </c>
    </row>
    <row r="70" spans="1:17" x14ac:dyDescent="0.25">
      <c r="A70" s="10" t="s">
        <v>233</v>
      </c>
      <c r="B70" s="834" t="s">
        <v>27</v>
      </c>
      <c r="C70" s="834"/>
      <c r="D70" s="222">
        <f>Growth!$G8</f>
        <v>7.4968755249000291E-2</v>
      </c>
      <c r="E70" s="222">
        <f>Growth!$G9</f>
        <v>0.15961450248024708</v>
      </c>
      <c r="F70" s="222">
        <f>Growth!$G10</f>
        <v>0.20229643347303783</v>
      </c>
      <c r="G70" s="222">
        <f>Growth!$G11</f>
        <v>0.24654935829988212</v>
      </c>
      <c r="H70" s="222">
        <f>Growth!$G12</f>
        <v>0.29243110053082899</v>
      </c>
      <c r="I70" s="222">
        <f>Growth!$G13</f>
        <v>0.34000161204806295</v>
      </c>
      <c r="J70" s="222">
        <f>Growth!$G14</f>
        <v>0.38932305138271844</v>
      </c>
      <c r="K70" s="222">
        <f>Growth!$G15</f>
        <v>0.44045986493496619</v>
      </c>
      <c r="L70" s="222">
        <f>Growth!$G16</f>
        <v>0.4934788711836221</v>
      </c>
      <c r="M70" s="222">
        <f>Growth!$G17</f>
        <v>0.548449347995285</v>
      </c>
      <c r="N70" s="222">
        <f>Growth!$G18</f>
        <v>0.60544312314694371</v>
      </c>
      <c r="O70" s="222">
        <f>Growth!$G19</f>
        <v>0.66453466818061258</v>
      </c>
      <c r="P70" s="222">
        <f>Growth!$G20</f>
        <v>0.7258011957123357</v>
      </c>
      <c r="Q70" s="222">
        <f>Growth!$G21</f>
        <v>0.78932276032292392</v>
      </c>
    </row>
    <row r="71" spans="1:17" x14ac:dyDescent="0.25">
      <c r="A71" s="649" t="s">
        <v>847</v>
      </c>
      <c r="B71" s="834" t="s">
        <v>27</v>
      </c>
      <c r="C71" s="834"/>
      <c r="D71" s="222">
        <f>Growth!$H8</f>
        <v>7.4987179834447554E-2</v>
      </c>
      <c r="E71" s="222">
        <f>Growth!$H9</f>
        <v>0.11487071873903137</v>
      </c>
      <c r="F71" s="222">
        <f>Growth!$H10</f>
        <v>0.15102739754508301</v>
      </c>
      <c r="G71" s="222">
        <f>Growth!$H11</f>
        <v>0.18440519556548982</v>
      </c>
      <c r="H71" s="222">
        <f>Growth!$H12</f>
        <v>0.21887580559911993</v>
      </c>
      <c r="I71" s="222">
        <f>Growth!$H13</f>
        <v>0.2544794366551939</v>
      </c>
      <c r="J71" s="222">
        <f>Growth!$H14</f>
        <v>0.29125791799611689</v>
      </c>
      <c r="K71" s="222">
        <f>Growth!$H15</f>
        <v>0.32914486406438159</v>
      </c>
      <c r="L71" s="222">
        <f>Growth!$H16</f>
        <v>0.35936354031630968</v>
      </c>
      <c r="M71" s="222">
        <f>Growth!$H17</f>
        <v>0.39027252206645779</v>
      </c>
      <c r="N71" s="222">
        <f>Growth!$H18</f>
        <v>0.42188765098325831</v>
      </c>
      <c r="O71" s="222">
        <f>Growth!$H19</f>
        <v>0.45422513389525299</v>
      </c>
      <c r="P71" s="222">
        <f>Growth!$H20</f>
        <v>0.48860137895136968</v>
      </c>
      <c r="Q71" s="222">
        <f>Growth!$H21</f>
        <v>0.52279793624620852</v>
      </c>
    </row>
    <row r="72" spans="1:17" x14ac:dyDescent="0.25">
      <c r="A72" s="10" t="s">
        <v>234</v>
      </c>
      <c r="B72" s="834" t="s">
        <v>27</v>
      </c>
      <c r="C72" s="834"/>
      <c r="D72" s="222">
        <f>Growth!$I8</f>
        <v>9.7795845679310989E-3</v>
      </c>
      <c r="E72" s="222">
        <f>Growth!$I9</f>
        <v>1.492791402705583E-2</v>
      </c>
      <c r="F72" s="222">
        <f>Growth!$I10</f>
        <v>2.6628462023319498E-2</v>
      </c>
      <c r="G72" s="222">
        <f>Growth!$I11</f>
        <v>3.4642567685373271E-2</v>
      </c>
      <c r="H72" s="222">
        <f>Growth!$I12</f>
        <v>4.2769630813193044E-2</v>
      </c>
      <c r="I72" s="222">
        <f>Growth!$I13</f>
        <v>5.1013291136714503E-2</v>
      </c>
      <c r="J72" s="222">
        <f>Growth!$I14</f>
        <v>5.9377352889062179E-2</v>
      </c>
      <c r="K72" s="222">
        <f>Growth!$I15</f>
        <v>7.0987745336126756E-2</v>
      </c>
      <c r="L72" s="222">
        <f>Growth!$I16</f>
        <v>8.2319423047410883E-2</v>
      </c>
      <c r="M72" s="222">
        <f>Growth!$I17</f>
        <v>9.3817950353126484E-2</v>
      </c>
      <c r="N72" s="222">
        <f>Growth!$I18</f>
        <v>0.10548686029160387</v>
      </c>
      <c r="O72" s="222">
        <f>Growth!$I19</f>
        <v>0.11732978702575415</v>
      </c>
      <c r="P72" s="222">
        <f>Growth!$I20</f>
        <v>0.13037367245195625</v>
      </c>
      <c r="Q72" s="222">
        <f>Growth!$I21</f>
        <v>0.14323738568409056</v>
      </c>
    </row>
    <row r="74" spans="1:17" ht="15.75" x14ac:dyDescent="0.25">
      <c r="A74" s="15" t="s">
        <v>261</v>
      </c>
    </row>
    <row r="75" spans="1:17" s="3" customFormat="1" ht="45" x14ac:dyDescent="0.25">
      <c r="A75" s="9" t="s">
        <v>254</v>
      </c>
      <c r="B75" s="364" t="s">
        <v>21</v>
      </c>
      <c r="C75" s="366" t="s">
        <v>77</v>
      </c>
      <c r="D75" s="4">
        <v>2019</v>
      </c>
      <c r="E75" s="4">
        <v>2020</v>
      </c>
      <c r="F75" s="4">
        <v>2021</v>
      </c>
      <c r="G75" s="4">
        <v>2022</v>
      </c>
      <c r="H75" s="4">
        <v>2023</v>
      </c>
      <c r="I75" s="4">
        <v>2024</v>
      </c>
      <c r="J75" s="4">
        <v>2025</v>
      </c>
      <c r="K75" s="4">
        <v>2026</v>
      </c>
      <c r="L75" s="4">
        <v>2027</v>
      </c>
      <c r="M75" s="4">
        <v>2028</v>
      </c>
      <c r="N75" s="4">
        <v>2029</v>
      </c>
      <c r="O75" s="4">
        <v>2030</v>
      </c>
      <c r="P75" s="181">
        <v>2031</v>
      </c>
      <c r="Q75" s="181">
        <v>2032</v>
      </c>
    </row>
    <row r="76" spans="1:17" x14ac:dyDescent="0.25">
      <c r="A76" s="937" t="s">
        <v>235</v>
      </c>
      <c r="B76" s="937" t="s">
        <v>34</v>
      </c>
      <c r="C76" s="10" t="s">
        <v>81</v>
      </c>
      <c r="D76" s="376"/>
      <c r="E76" s="377">
        <f t="shared" ref="E76:Q76" si="1">($B$36*$B$20+$B$37*$B$21+$B$38*$B$22+$B$39*$B$24+$B$40*$B$25)*$D$7*$D$12*(1+E$69)</f>
        <v>0</v>
      </c>
      <c r="F76" s="377">
        <f t="shared" si="1"/>
        <v>0</v>
      </c>
      <c r="G76" s="377">
        <f t="shared" si="1"/>
        <v>0</v>
      </c>
      <c r="H76" s="377">
        <f t="shared" si="1"/>
        <v>0</v>
      </c>
      <c r="I76" s="377">
        <f t="shared" si="1"/>
        <v>0</v>
      </c>
      <c r="J76" s="377">
        <f t="shared" si="1"/>
        <v>0</v>
      </c>
      <c r="K76" s="377">
        <f t="shared" si="1"/>
        <v>0</v>
      </c>
      <c r="L76" s="377">
        <f t="shared" si="1"/>
        <v>0</v>
      </c>
      <c r="M76" s="377">
        <f t="shared" si="1"/>
        <v>0</v>
      </c>
      <c r="N76" s="377">
        <f t="shared" si="1"/>
        <v>0</v>
      </c>
      <c r="O76" s="377">
        <f t="shared" si="1"/>
        <v>0</v>
      </c>
      <c r="P76" s="377">
        <f t="shared" si="1"/>
        <v>0</v>
      </c>
      <c r="Q76" s="377">
        <f t="shared" si="1"/>
        <v>0</v>
      </c>
    </row>
    <row r="77" spans="1:17" x14ac:dyDescent="0.25">
      <c r="A77" s="939"/>
      <c r="B77" s="939"/>
      <c r="C77" s="10" t="s">
        <v>14</v>
      </c>
      <c r="D77" s="376"/>
      <c r="E77" s="377">
        <f t="shared" ref="E77:Q77" si="2">($B$46*$B$20+$B$47*$B$21+$B$48*$B$23+$B$49*$B$24)*$D$9*$D$12*(1+E$70)</f>
        <v>7737690.1138297953</v>
      </c>
      <c r="F77" s="377">
        <f t="shared" si="2"/>
        <v>8022491.2738495311</v>
      </c>
      <c r="G77" s="377">
        <f t="shared" si="2"/>
        <v>8317775.1101661241</v>
      </c>
      <c r="H77" s="377">
        <f t="shared" si="2"/>
        <v>8623927.4586460311</v>
      </c>
      <c r="I77" s="377">
        <f t="shared" si="2"/>
        <v>8941348.3566163853</v>
      </c>
      <c r="J77" s="377">
        <f t="shared" si="2"/>
        <v>9270452.5655783806</v>
      </c>
      <c r="K77" s="377">
        <f t="shared" si="2"/>
        <v>9611670.1131596509</v>
      </c>
      <c r="L77" s="377">
        <f t="shared" si="2"/>
        <v>9965446.8550146837</v>
      </c>
      <c r="M77" s="377">
        <f t="shared" si="2"/>
        <v>10332245.057407256</v>
      </c>
      <c r="N77" s="377">
        <f t="shared" si="2"/>
        <v>10712544.001235221</v>
      </c>
      <c r="O77" s="377">
        <f t="shared" si="2"/>
        <v>11106840.608288681</v>
      </c>
      <c r="P77" s="377">
        <f t="shared" si="2"/>
        <v>11515650.090557959</v>
      </c>
      <c r="Q77" s="377">
        <f t="shared" si="2"/>
        <v>11939506.623441154</v>
      </c>
    </row>
    <row r="78" spans="1:17" x14ac:dyDescent="0.25">
      <c r="A78" s="937" t="s">
        <v>237</v>
      </c>
      <c r="B78" s="937" t="s">
        <v>35</v>
      </c>
      <c r="C78" s="10" t="s">
        <v>81</v>
      </c>
      <c r="D78" s="376"/>
      <c r="E78" s="377">
        <f t="shared" ref="E78:Q78" si="3">($B$36*$C$20+$B$37*$C$21+$B$38*$C$22+$B$39*$C$24+$B$40*$C$25)*$D$7*$D$12*(1+E$69)</f>
        <v>0</v>
      </c>
      <c r="F78" s="377">
        <f t="shared" si="3"/>
        <v>0</v>
      </c>
      <c r="G78" s="377">
        <f t="shared" si="3"/>
        <v>0</v>
      </c>
      <c r="H78" s="377">
        <f t="shared" si="3"/>
        <v>0</v>
      </c>
      <c r="I78" s="377">
        <f t="shared" si="3"/>
        <v>0</v>
      </c>
      <c r="J78" s="377">
        <f t="shared" si="3"/>
        <v>0</v>
      </c>
      <c r="K78" s="377">
        <f t="shared" si="3"/>
        <v>0</v>
      </c>
      <c r="L78" s="377">
        <f t="shared" si="3"/>
        <v>0</v>
      </c>
      <c r="M78" s="377">
        <f t="shared" si="3"/>
        <v>0</v>
      </c>
      <c r="N78" s="377">
        <f t="shared" si="3"/>
        <v>0</v>
      </c>
      <c r="O78" s="377">
        <f t="shared" si="3"/>
        <v>0</v>
      </c>
      <c r="P78" s="377">
        <f t="shared" si="3"/>
        <v>0</v>
      </c>
      <c r="Q78" s="377">
        <f t="shared" si="3"/>
        <v>0</v>
      </c>
    </row>
    <row r="79" spans="1:17" x14ac:dyDescent="0.25">
      <c r="A79" s="939"/>
      <c r="B79" s="939"/>
      <c r="C79" s="10" t="s">
        <v>14</v>
      </c>
      <c r="D79" s="376"/>
      <c r="E79" s="377">
        <f t="shared" ref="E79:Q79" si="4">($B$46*$C$20+$B$47*$C$21+$B$48*$C$23+$B$49*$C$24)*$D$9*$D$12*(1+E$70)</f>
        <v>0</v>
      </c>
      <c r="F79" s="377">
        <f t="shared" si="4"/>
        <v>0</v>
      </c>
      <c r="G79" s="377">
        <f t="shared" si="4"/>
        <v>0</v>
      </c>
      <c r="H79" s="377">
        <f t="shared" si="4"/>
        <v>0</v>
      </c>
      <c r="I79" s="377">
        <f t="shared" si="4"/>
        <v>0</v>
      </c>
      <c r="J79" s="377">
        <f t="shared" si="4"/>
        <v>0</v>
      </c>
      <c r="K79" s="377">
        <f t="shared" si="4"/>
        <v>0</v>
      </c>
      <c r="L79" s="377">
        <f t="shared" si="4"/>
        <v>0</v>
      </c>
      <c r="M79" s="377">
        <f t="shared" si="4"/>
        <v>0</v>
      </c>
      <c r="N79" s="377">
        <f t="shared" si="4"/>
        <v>0</v>
      </c>
      <c r="O79" s="377">
        <f t="shared" si="4"/>
        <v>0</v>
      </c>
      <c r="P79" s="377">
        <f t="shared" si="4"/>
        <v>0</v>
      </c>
      <c r="Q79" s="377">
        <f t="shared" si="4"/>
        <v>0</v>
      </c>
    </row>
    <row r="80" spans="1:17" x14ac:dyDescent="0.25">
      <c r="A80" s="937" t="s">
        <v>238</v>
      </c>
      <c r="B80" s="937" t="s">
        <v>34</v>
      </c>
      <c r="C80" s="10" t="s">
        <v>81</v>
      </c>
      <c r="D80" s="376"/>
      <c r="E80" s="376"/>
      <c r="F80" s="377">
        <f t="shared" ref="F80:Q80" si="5">($B$36*$D$20+$B$37*$D$21+$B$38*$D$22+$B$39*$D$24+$B$40*$D$25)*$D$14*(1+F$69)</f>
        <v>0</v>
      </c>
      <c r="G80" s="377">
        <f t="shared" si="5"/>
        <v>0</v>
      </c>
      <c r="H80" s="377">
        <f t="shared" si="5"/>
        <v>0</v>
      </c>
      <c r="I80" s="377">
        <f t="shared" si="5"/>
        <v>0</v>
      </c>
      <c r="J80" s="377">
        <f t="shared" si="5"/>
        <v>0</v>
      </c>
      <c r="K80" s="377">
        <f t="shared" si="5"/>
        <v>0</v>
      </c>
      <c r="L80" s="377">
        <f t="shared" si="5"/>
        <v>0</v>
      </c>
      <c r="M80" s="377">
        <f t="shared" si="5"/>
        <v>0</v>
      </c>
      <c r="N80" s="377">
        <f t="shared" si="5"/>
        <v>0</v>
      </c>
      <c r="O80" s="377">
        <f t="shared" si="5"/>
        <v>0</v>
      </c>
      <c r="P80" s="377">
        <f t="shared" si="5"/>
        <v>0</v>
      </c>
      <c r="Q80" s="377">
        <f t="shared" si="5"/>
        <v>0</v>
      </c>
    </row>
    <row r="81" spans="1:17" x14ac:dyDescent="0.25">
      <c r="A81" s="939"/>
      <c r="B81" s="939"/>
      <c r="C81" s="10" t="s">
        <v>14</v>
      </c>
      <c r="D81" s="376"/>
      <c r="E81" s="376"/>
      <c r="F81" s="377">
        <f t="shared" ref="F81:Q81" si="6">($B$46*$D$20+$B$47*$D$21+$B$48*$D$23+$B$49*$D$24)*$D$15*(1+F$70)</f>
        <v>60114.821673651895</v>
      </c>
      <c r="G81" s="377">
        <f t="shared" si="6"/>
        <v>62327.467914994108</v>
      </c>
      <c r="H81" s="377">
        <f t="shared" si="6"/>
        <v>64621.555026541457</v>
      </c>
      <c r="I81" s="377">
        <f t="shared" si="6"/>
        <v>67000.080602403148</v>
      </c>
      <c r="J81" s="377">
        <f t="shared" si="6"/>
        <v>69466.152569135913</v>
      </c>
      <c r="K81" s="377">
        <f t="shared" si="6"/>
        <v>72022.993246748316</v>
      </c>
      <c r="L81" s="377">
        <f t="shared" si="6"/>
        <v>74673.943559181105</v>
      </c>
      <c r="M81" s="377">
        <f t="shared" si="6"/>
        <v>77422.467399764253</v>
      </c>
      <c r="N81" s="377">
        <f t="shared" si="6"/>
        <v>80272.156157347184</v>
      </c>
      <c r="O81" s="377">
        <f t="shared" si="6"/>
        <v>83226.733409030625</v>
      </c>
      <c r="P81" s="377">
        <f t="shared" si="6"/>
        <v>86290.059785616788</v>
      </c>
      <c r="Q81" s="377">
        <f t="shared" si="6"/>
        <v>89466.1380161462</v>
      </c>
    </row>
    <row r="82" spans="1:17" x14ac:dyDescent="0.25">
      <c r="A82" s="937" t="s">
        <v>239</v>
      </c>
      <c r="B82" s="937" t="s">
        <v>35</v>
      </c>
      <c r="C82" s="10" t="s">
        <v>81</v>
      </c>
      <c r="D82" s="376"/>
      <c r="E82" s="376"/>
      <c r="F82" s="377">
        <f t="shared" ref="F82:Q82" si="7">($B$36*$E$20+$B$37*$E$21+$B$38*$E$22+$B$39*$E$24+$B$40*$E$25)*$D$14*(1+F$69)</f>
        <v>0</v>
      </c>
      <c r="G82" s="377">
        <f t="shared" si="7"/>
        <v>0</v>
      </c>
      <c r="H82" s="377">
        <f t="shared" si="7"/>
        <v>0</v>
      </c>
      <c r="I82" s="377">
        <f t="shared" si="7"/>
        <v>0</v>
      </c>
      <c r="J82" s="377">
        <f t="shared" si="7"/>
        <v>0</v>
      </c>
      <c r="K82" s="377">
        <f t="shared" si="7"/>
        <v>0</v>
      </c>
      <c r="L82" s="377">
        <f t="shared" si="7"/>
        <v>0</v>
      </c>
      <c r="M82" s="377">
        <f t="shared" si="7"/>
        <v>0</v>
      </c>
      <c r="N82" s="377">
        <f t="shared" si="7"/>
        <v>0</v>
      </c>
      <c r="O82" s="377">
        <f t="shared" si="7"/>
        <v>0</v>
      </c>
      <c r="P82" s="377">
        <f t="shared" si="7"/>
        <v>0</v>
      </c>
      <c r="Q82" s="377">
        <f t="shared" si="7"/>
        <v>0</v>
      </c>
    </row>
    <row r="83" spans="1:17" x14ac:dyDescent="0.25">
      <c r="A83" s="939"/>
      <c r="B83" s="939"/>
      <c r="C83" s="10" t="s">
        <v>14</v>
      </c>
      <c r="D83" s="376"/>
      <c r="E83" s="376"/>
      <c r="F83" s="377">
        <f t="shared" ref="F83:Q83" si="8">($B$46*$E$20+$B$47*$E$21+$B$48*$E$23+$B$49*$E$24)*$D$14*(1+F$70)</f>
        <v>0</v>
      </c>
      <c r="G83" s="377">
        <f t="shared" si="8"/>
        <v>0</v>
      </c>
      <c r="H83" s="377">
        <f t="shared" si="8"/>
        <v>0</v>
      </c>
      <c r="I83" s="377">
        <f t="shared" si="8"/>
        <v>0</v>
      </c>
      <c r="J83" s="377">
        <f t="shared" si="8"/>
        <v>0</v>
      </c>
      <c r="K83" s="377">
        <f t="shared" si="8"/>
        <v>0</v>
      </c>
      <c r="L83" s="377">
        <f t="shared" si="8"/>
        <v>0</v>
      </c>
      <c r="M83" s="377">
        <f t="shared" si="8"/>
        <v>0</v>
      </c>
      <c r="N83" s="377">
        <f t="shared" si="8"/>
        <v>0</v>
      </c>
      <c r="O83" s="377">
        <f t="shared" si="8"/>
        <v>0</v>
      </c>
      <c r="P83" s="377">
        <f t="shared" si="8"/>
        <v>0</v>
      </c>
      <c r="Q83" s="377">
        <f t="shared" si="8"/>
        <v>0</v>
      </c>
    </row>
    <row r="84" spans="1:17" x14ac:dyDescent="0.25">
      <c r="A84" s="937" t="s">
        <v>249</v>
      </c>
      <c r="B84" s="937" t="s">
        <v>34</v>
      </c>
      <c r="C84" s="10" t="s">
        <v>81</v>
      </c>
      <c r="D84" s="376"/>
      <c r="E84" s="377">
        <f t="shared" ref="E84:Q84" si="9">($C$36*$B$20+$C$37*$B$21+$C$38*$B$22+$C$39*$B$24+$C$40*$B$25)*$D$8*$D$12*(1+E$69)</f>
        <v>921237.50235713599</v>
      </c>
      <c r="F84" s="377">
        <f t="shared" si="9"/>
        <v>954239.43923545443</v>
      </c>
      <c r="G84" s="377">
        <f t="shared" si="9"/>
        <v>989418.44078448159</v>
      </c>
      <c r="H84" s="377">
        <f t="shared" si="9"/>
        <v>1026817.9029281614</v>
      </c>
      <c r="I84" s="377">
        <f t="shared" si="9"/>
        <v>1066492.8452108107</v>
      </c>
      <c r="J84" s="377">
        <f t="shared" si="9"/>
        <v>1127050.0377554337</v>
      </c>
      <c r="K84" s="377">
        <f t="shared" si="9"/>
        <v>1154572.0579564099</v>
      </c>
      <c r="L84" s="377">
        <f t="shared" si="9"/>
        <v>1184691.4517739022</v>
      </c>
      <c r="M84" s="377">
        <f t="shared" si="9"/>
        <v>1217346.4156913066</v>
      </c>
      <c r="N84" s="377">
        <f t="shared" si="9"/>
        <v>1252502.2688773288</v>
      </c>
      <c r="O84" s="377">
        <f t="shared" si="9"/>
        <v>1290146.5477224842</v>
      </c>
      <c r="P84" s="377">
        <f t="shared" si="9"/>
        <v>1351800.5752441525</v>
      </c>
      <c r="Q84" s="377">
        <f t="shared" si="9"/>
        <v>1416412.1846810572</v>
      </c>
    </row>
    <row r="85" spans="1:17" x14ac:dyDescent="0.25">
      <c r="A85" s="938"/>
      <c r="B85" s="938"/>
      <c r="C85" s="10" t="s">
        <v>14</v>
      </c>
      <c r="D85" s="376"/>
      <c r="E85" s="377">
        <f t="shared" ref="E85:Q85" si="10">($C$46*$B$20+$C$47*$B$21+$C$48*$B$23+$C$49*$B$24)*$D$8*$D$12*(1+E$70)</f>
        <v>0</v>
      </c>
      <c r="F85" s="377">
        <f t="shared" si="10"/>
        <v>0</v>
      </c>
      <c r="G85" s="377">
        <f t="shared" si="10"/>
        <v>0</v>
      </c>
      <c r="H85" s="377">
        <f t="shared" si="10"/>
        <v>0</v>
      </c>
      <c r="I85" s="377">
        <f t="shared" si="10"/>
        <v>0</v>
      </c>
      <c r="J85" s="377">
        <f t="shared" si="10"/>
        <v>0</v>
      </c>
      <c r="K85" s="377">
        <f t="shared" si="10"/>
        <v>0</v>
      </c>
      <c r="L85" s="377">
        <f t="shared" si="10"/>
        <v>0</v>
      </c>
      <c r="M85" s="377">
        <f t="shared" si="10"/>
        <v>0</v>
      </c>
      <c r="N85" s="377">
        <f t="shared" si="10"/>
        <v>0</v>
      </c>
      <c r="O85" s="377">
        <f t="shared" si="10"/>
        <v>0</v>
      </c>
      <c r="P85" s="377">
        <f t="shared" si="10"/>
        <v>0</v>
      </c>
      <c r="Q85" s="377">
        <f t="shared" si="10"/>
        <v>0</v>
      </c>
    </row>
    <row r="86" spans="1:17" x14ac:dyDescent="0.25">
      <c r="A86" s="937" t="s">
        <v>250</v>
      </c>
      <c r="B86" s="937" t="s">
        <v>35</v>
      </c>
      <c r="C86" s="10" t="s">
        <v>81</v>
      </c>
      <c r="D86" s="376"/>
      <c r="E86" s="377">
        <f t="shared" ref="E86:Q86" si="11">($C$36*$C$20+$C$37*$C$21+$C$38*$C$22+$C$39*$C$24+$C$40*$C$25)*$D$8*$D$12*(1+E$69)</f>
        <v>0</v>
      </c>
      <c r="F86" s="377">
        <f t="shared" si="11"/>
        <v>0</v>
      </c>
      <c r="G86" s="377">
        <f t="shared" si="11"/>
        <v>0</v>
      </c>
      <c r="H86" s="377">
        <f t="shared" si="11"/>
        <v>0</v>
      </c>
      <c r="I86" s="377">
        <f t="shared" si="11"/>
        <v>0</v>
      </c>
      <c r="J86" s="377">
        <f t="shared" si="11"/>
        <v>0</v>
      </c>
      <c r="K86" s="377">
        <f t="shared" si="11"/>
        <v>0</v>
      </c>
      <c r="L86" s="377">
        <f t="shared" si="11"/>
        <v>0</v>
      </c>
      <c r="M86" s="377">
        <f t="shared" si="11"/>
        <v>0</v>
      </c>
      <c r="N86" s="377">
        <f t="shared" si="11"/>
        <v>0</v>
      </c>
      <c r="O86" s="377">
        <f t="shared" si="11"/>
        <v>0</v>
      </c>
      <c r="P86" s="377">
        <f t="shared" si="11"/>
        <v>0</v>
      </c>
      <c r="Q86" s="377">
        <f t="shared" si="11"/>
        <v>0</v>
      </c>
    </row>
    <row r="87" spans="1:17" x14ac:dyDescent="0.25">
      <c r="A87" s="938"/>
      <c r="B87" s="938"/>
      <c r="C87" s="10" t="s">
        <v>14</v>
      </c>
      <c r="D87" s="376"/>
      <c r="E87" s="377">
        <f t="shared" ref="E87:Q87" si="12">($C$46*$C$20+$C$47*$C$21+$C$48*$C$23+$C$49*$C$24)*$D$8*$D$12*(1+E$70)</f>
        <v>0</v>
      </c>
      <c r="F87" s="377">
        <f t="shared" si="12"/>
        <v>0</v>
      </c>
      <c r="G87" s="377">
        <f t="shared" si="12"/>
        <v>0</v>
      </c>
      <c r="H87" s="377">
        <f t="shared" si="12"/>
        <v>0</v>
      </c>
      <c r="I87" s="377">
        <f t="shared" si="12"/>
        <v>0</v>
      </c>
      <c r="J87" s="377">
        <f t="shared" si="12"/>
        <v>0</v>
      </c>
      <c r="K87" s="377">
        <f t="shared" si="12"/>
        <v>0</v>
      </c>
      <c r="L87" s="377">
        <f t="shared" si="12"/>
        <v>0</v>
      </c>
      <c r="M87" s="377">
        <f t="shared" si="12"/>
        <v>0</v>
      </c>
      <c r="N87" s="377">
        <f t="shared" si="12"/>
        <v>0</v>
      </c>
      <c r="O87" s="377">
        <f t="shared" si="12"/>
        <v>0</v>
      </c>
      <c r="P87" s="377">
        <f t="shared" si="12"/>
        <v>0</v>
      </c>
      <c r="Q87" s="377">
        <f t="shared" si="12"/>
        <v>0</v>
      </c>
    </row>
    <row r="88" spans="1:17" x14ac:dyDescent="0.25">
      <c r="A88" s="937" t="s">
        <v>251</v>
      </c>
      <c r="B88" s="937" t="s">
        <v>35</v>
      </c>
      <c r="C88" s="10" t="s">
        <v>81</v>
      </c>
      <c r="D88" s="376"/>
      <c r="E88" s="377">
        <f t="shared" ref="E88:Q88" si="13">($D$36*$C$20+$D$37*$C$21+$D$38*$C$22+$D$39*$C$24+$D$40*$C$25)*$D$13*$D$12*(1+E$69)</f>
        <v>0</v>
      </c>
      <c r="F88" s="377">
        <f t="shared" si="13"/>
        <v>0</v>
      </c>
      <c r="G88" s="377">
        <f t="shared" si="13"/>
        <v>0</v>
      </c>
      <c r="H88" s="377">
        <f t="shared" si="13"/>
        <v>0</v>
      </c>
      <c r="I88" s="377">
        <f t="shared" si="13"/>
        <v>0</v>
      </c>
      <c r="J88" s="377">
        <f t="shared" si="13"/>
        <v>0</v>
      </c>
      <c r="K88" s="377">
        <f t="shared" si="13"/>
        <v>0</v>
      </c>
      <c r="L88" s="377">
        <f t="shared" si="13"/>
        <v>0</v>
      </c>
      <c r="M88" s="377">
        <f t="shared" si="13"/>
        <v>0</v>
      </c>
      <c r="N88" s="377">
        <f t="shared" si="13"/>
        <v>0</v>
      </c>
      <c r="O88" s="377">
        <f t="shared" si="13"/>
        <v>0</v>
      </c>
      <c r="P88" s="377">
        <f t="shared" si="13"/>
        <v>0</v>
      </c>
      <c r="Q88" s="377">
        <f t="shared" si="13"/>
        <v>0</v>
      </c>
    </row>
    <row r="89" spans="1:17" x14ac:dyDescent="0.25">
      <c r="A89" s="939"/>
      <c r="B89" s="939"/>
      <c r="C89" s="10" t="s">
        <v>14</v>
      </c>
      <c r="D89" s="376"/>
      <c r="E89" s="377">
        <f t="shared" ref="E89:Q89" si="14">($D$46*$C$20+$D$47*$C$21+$D$48*$C$23+$D$49*$C$24)*$D$13*$D$12*(1+E$70)</f>
        <v>0</v>
      </c>
      <c r="F89" s="377">
        <f t="shared" si="14"/>
        <v>0</v>
      </c>
      <c r="G89" s="377">
        <f t="shared" si="14"/>
        <v>0</v>
      </c>
      <c r="H89" s="377">
        <f t="shared" si="14"/>
        <v>0</v>
      </c>
      <c r="I89" s="377">
        <f t="shared" si="14"/>
        <v>0</v>
      </c>
      <c r="J89" s="377">
        <f t="shared" si="14"/>
        <v>0</v>
      </c>
      <c r="K89" s="377">
        <f t="shared" si="14"/>
        <v>0</v>
      </c>
      <c r="L89" s="377">
        <f t="shared" si="14"/>
        <v>0</v>
      </c>
      <c r="M89" s="377">
        <f t="shared" si="14"/>
        <v>0</v>
      </c>
      <c r="N89" s="377">
        <f t="shared" si="14"/>
        <v>0</v>
      </c>
      <c r="O89" s="377">
        <f t="shared" si="14"/>
        <v>0</v>
      </c>
      <c r="P89" s="377">
        <f t="shared" si="14"/>
        <v>0</v>
      </c>
      <c r="Q89" s="377">
        <f t="shared" si="14"/>
        <v>0</v>
      </c>
    </row>
    <row r="90" spans="1:17" s="21" customFormat="1" x14ac:dyDescent="0.25">
      <c r="A90" s="223"/>
      <c r="B90" s="223"/>
      <c r="C90" s="14"/>
      <c r="D90" s="224"/>
      <c r="E90" s="224"/>
      <c r="F90" s="224"/>
      <c r="G90" s="224"/>
      <c r="H90" s="224"/>
      <c r="I90" s="14"/>
      <c r="J90" s="14"/>
      <c r="K90" s="14"/>
      <c r="L90" s="14"/>
      <c r="M90" s="14"/>
      <c r="N90" s="14"/>
      <c r="O90" s="14"/>
      <c r="P90" s="14"/>
      <c r="Q90" s="14"/>
    </row>
    <row r="91" spans="1:17" s="21" customFormat="1" x14ac:dyDescent="0.25">
      <c r="A91" s="223"/>
      <c r="B91" s="223"/>
      <c r="C91" s="14"/>
      <c r="D91" s="224"/>
      <c r="E91" s="224"/>
      <c r="F91" s="224"/>
      <c r="G91" s="224"/>
      <c r="H91" s="224"/>
      <c r="I91" s="14"/>
      <c r="J91" s="14"/>
      <c r="K91" s="14"/>
      <c r="L91" s="14"/>
      <c r="M91" s="14"/>
      <c r="N91" s="14"/>
      <c r="O91" s="14"/>
      <c r="P91" s="14"/>
      <c r="Q91" s="14"/>
    </row>
    <row r="92" spans="1:17" s="3" customFormat="1" ht="45" x14ac:dyDescent="0.25">
      <c r="A92" s="9" t="s">
        <v>841</v>
      </c>
      <c r="B92" s="364" t="s">
        <v>21</v>
      </c>
      <c r="C92" s="366" t="s">
        <v>77</v>
      </c>
      <c r="D92" s="182">
        <v>2019</v>
      </c>
      <c r="E92" s="182">
        <v>2020</v>
      </c>
      <c r="F92" s="182">
        <v>2021</v>
      </c>
      <c r="G92" s="182">
        <v>2022</v>
      </c>
      <c r="H92" s="182">
        <v>2023</v>
      </c>
      <c r="I92" s="182">
        <v>2024</v>
      </c>
      <c r="J92" s="182">
        <v>2025</v>
      </c>
      <c r="K92" s="182">
        <v>2026</v>
      </c>
      <c r="L92" s="182">
        <v>2027</v>
      </c>
      <c r="M92" s="182">
        <v>2028</v>
      </c>
      <c r="N92" s="182">
        <v>2029</v>
      </c>
      <c r="O92" s="182">
        <v>2030</v>
      </c>
      <c r="P92" s="181">
        <v>2031</v>
      </c>
      <c r="Q92" s="181">
        <v>2032</v>
      </c>
    </row>
    <row r="93" spans="1:17" x14ac:dyDescent="0.25">
      <c r="A93" s="937" t="s">
        <v>235</v>
      </c>
      <c r="B93" s="937" t="s">
        <v>34</v>
      </c>
      <c r="C93" s="244" t="s">
        <v>822</v>
      </c>
      <c r="D93" s="376"/>
      <c r="E93" s="376"/>
      <c r="F93" s="376"/>
      <c r="G93" s="376"/>
      <c r="H93" s="376"/>
      <c r="I93" s="377">
        <f t="shared" ref="I93:Q93" si="15">($B$57*$L$20+$B$58*$L$21+$B$59*$L$23+$B$60*$L$24+$B$62*$L$25+$B$63*$L$27)*$D$7*$D$12*(1+I$71)</f>
        <v>12696348.091282738</v>
      </c>
      <c r="J93" s="377">
        <f t="shared" si="15"/>
        <v>13068576.114898762</v>
      </c>
      <c r="K93" s="377">
        <f t="shared" si="15"/>
        <v>13452022.699468454</v>
      </c>
      <c r="L93" s="377">
        <f t="shared" si="15"/>
        <v>13757860.181807123</v>
      </c>
      <c r="M93" s="377">
        <f t="shared" si="15"/>
        <v>14070684.114970446</v>
      </c>
      <c r="N93" s="377">
        <f t="shared" si="15"/>
        <v>14390654.829475515</v>
      </c>
      <c r="O93" s="377">
        <f t="shared" si="15"/>
        <v>14717936.35155553</v>
      </c>
      <c r="P93" s="377">
        <f t="shared" si="15"/>
        <v>15065851.798035389</v>
      </c>
      <c r="Q93" s="377">
        <f t="shared" si="15"/>
        <v>15411948.658814866</v>
      </c>
    </row>
    <row r="94" spans="1:17" ht="30" x14ac:dyDescent="0.25">
      <c r="A94" s="938"/>
      <c r="B94" s="938"/>
      <c r="C94" s="485" t="s">
        <v>520</v>
      </c>
      <c r="D94" s="376"/>
      <c r="E94" s="376"/>
      <c r="F94" s="376"/>
      <c r="G94" s="376"/>
      <c r="H94" s="376"/>
      <c r="I94" s="377">
        <f t="shared" ref="I94:Q94" si="16">($C$57*$L$20+$C$58*$L$21)*$D$10*$D$12*(1+I$72)</f>
        <v>35046903.161967963</v>
      </c>
      <c r="J94" s="377">
        <f t="shared" si="16"/>
        <v>35325809.684604049</v>
      </c>
      <c r="K94" s="377">
        <f t="shared" si="16"/>
        <v>35712967.775939532</v>
      </c>
      <c r="L94" s="377">
        <f t="shared" si="16"/>
        <v>36090831.895032145</v>
      </c>
      <c r="M94" s="377">
        <f t="shared" si="16"/>
        <v>36474259.751165926</v>
      </c>
      <c r="N94" s="377">
        <f t="shared" si="16"/>
        <v>36863369.15641164</v>
      </c>
      <c r="O94" s="377">
        <f t="shared" si="16"/>
        <v>37258281.294922411</v>
      </c>
      <c r="P94" s="377">
        <f t="shared" si="16"/>
        <v>37693240.389391601</v>
      </c>
      <c r="Q94" s="377">
        <f t="shared" si="16"/>
        <v>38122191.493770443</v>
      </c>
    </row>
    <row r="95" spans="1:17" x14ac:dyDescent="0.25">
      <c r="A95" s="939"/>
      <c r="B95" s="939"/>
      <c r="C95" s="244" t="s">
        <v>521</v>
      </c>
      <c r="D95" s="376"/>
      <c r="E95" s="376"/>
      <c r="F95" s="376"/>
      <c r="G95" s="376"/>
      <c r="H95" s="376"/>
      <c r="I95" s="376"/>
      <c r="J95" s="376"/>
      <c r="K95" s="377">
        <f t="shared" ref="K95:Q95" si="17">($D$61*$L$26+$D$63*$L$27+$D$64*$L$28+$D$65*$L$29)*$D$10*$D$12*(1+K$72)</f>
        <v>0</v>
      </c>
      <c r="L95" s="377">
        <f t="shared" si="17"/>
        <v>0</v>
      </c>
      <c r="M95" s="377">
        <f t="shared" si="17"/>
        <v>0</v>
      </c>
      <c r="N95" s="377">
        <f t="shared" si="17"/>
        <v>0</v>
      </c>
      <c r="O95" s="377">
        <f t="shared" si="17"/>
        <v>0</v>
      </c>
      <c r="P95" s="377">
        <f t="shared" si="17"/>
        <v>0</v>
      </c>
      <c r="Q95" s="377">
        <f t="shared" si="17"/>
        <v>0</v>
      </c>
    </row>
    <row r="96" spans="1:17" x14ac:dyDescent="0.25">
      <c r="A96" s="937" t="s">
        <v>237</v>
      </c>
      <c r="B96" s="937" t="s">
        <v>35</v>
      </c>
      <c r="C96" s="244" t="s">
        <v>822</v>
      </c>
      <c r="D96" s="376"/>
      <c r="E96" s="376"/>
      <c r="F96" s="376"/>
      <c r="G96" s="376"/>
      <c r="H96" s="376"/>
      <c r="I96" s="377">
        <f t="shared" ref="I96:Q96" si="18">($B$57*$M$20+$B$58*$M$21+$B$59*$M$23+$B$60*$M$24+$B$62*$M$25+$B$63*$M$27)*$D$7*$D$12*(1+I$71)</f>
        <v>705352.67173792992</v>
      </c>
      <c r="J96" s="377">
        <f t="shared" si="18"/>
        <v>726032.00638326455</v>
      </c>
      <c r="K96" s="377">
        <f t="shared" si="18"/>
        <v>747334.59441491414</v>
      </c>
      <c r="L96" s="377">
        <f t="shared" si="18"/>
        <v>764325.56565595127</v>
      </c>
      <c r="M96" s="377">
        <f t="shared" si="18"/>
        <v>781704.67305391363</v>
      </c>
      <c r="N96" s="377">
        <f t="shared" si="18"/>
        <v>799480.82385975076</v>
      </c>
      <c r="O96" s="377">
        <f t="shared" si="18"/>
        <v>817663.13064197381</v>
      </c>
      <c r="P96" s="377">
        <f t="shared" si="18"/>
        <v>836991.76655752165</v>
      </c>
      <c r="Q96" s="377">
        <f t="shared" si="18"/>
        <v>856219.36993415921</v>
      </c>
    </row>
    <row r="97" spans="1:17" ht="30" x14ac:dyDescent="0.25">
      <c r="A97" s="938"/>
      <c r="B97" s="938"/>
      <c r="C97" s="485" t="s">
        <v>520</v>
      </c>
      <c r="D97" s="376"/>
      <c r="E97" s="376"/>
      <c r="F97" s="376"/>
      <c r="G97" s="376"/>
      <c r="H97" s="376"/>
      <c r="I97" s="377">
        <f t="shared" ref="I97:Q97" si="19">($C$57*$M$20+$C$58*$M$21)*$D$10*$D$12*(1+I$72)</f>
        <v>0</v>
      </c>
      <c r="J97" s="377">
        <f t="shared" si="19"/>
        <v>0</v>
      </c>
      <c r="K97" s="377">
        <f t="shared" si="19"/>
        <v>0</v>
      </c>
      <c r="L97" s="377">
        <f t="shared" si="19"/>
        <v>0</v>
      </c>
      <c r="M97" s="377">
        <f t="shared" si="19"/>
        <v>0</v>
      </c>
      <c r="N97" s="377">
        <f t="shared" si="19"/>
        <v>0</v>
      </c>
      <c r="O97" s="377">
        <f t="shared" si="19"/>
        <v>0</v>
      </c>
      <c r="P97" s="377">
        <f t="shared" si="19"/>
        <v>0</v>
      </c>
      <c r="Q97" s="377">
        <f t="shared" si="19"/>
        <v>0</v>
      </c>
    </row>
    <row r="98" spans="1:17" x14ac:dyDescent="0.25">
      <c r="A98" s="939"/>
      <c r="B98" s="939"/>
      <c r="C98" s="244" t="s">
        <v>521</v>
      </c>
      <c r="D98" s="376"/>
      <c r="E98" s="376"/>
      <c r="F98" s="376"/>
      <c r="G98" s="376"/>
      <c r="H98" s="376"/>
      <c r="I98" s="376"/>
      <c r="J98" s="376"/>
      <c r="K98" s="377">
        <f t="shared" ref="K98:Q98" si="20">($D$61*$M$26+$D$63*$M$27+$D$64*$M$28+$D$65*$M$29)*$D$10*$D$12*(1+K$72)</f>
        <v>46701573.245459378</v>
      </c>
      <c r="L98" s="377">
        <f t="shared" si="20"/>
        <v>47195703.247349724</v>
      </c>
      <c r="M98" s="377">
        <f t="shared" si="20"/>
        <v>47697108.905370824</v>
      </c>
      <c r="N98" s="377">
        <f t="shared" si="20"/>
        <v>48205944.281461366</v>
      </c>
      <c r="O98" s="377">
        <f t="shared" si="20"/>
        <v>48722367.84720622</v>
      </c>
      <c r="P98" s="377">
        <f t="shared" si="20"/>
        <v>49291160.509204395</v>
      </c>
      <c r="Q98" s="377">
        <f t="shared" si="20"/>
        <v>49852096.568776727</v>
      </c>
    </row>
    <row r="99" spans="1:17" x14ac:dyDescent="0.25">
      <c r="A99" s="937" t="s">
        <v>238</v>
      </c>
      <c r="B99" s="937" t="s">
        <v>34</v>
      </c>
      <c r="C99" s="244" t="s">
        <v>822</v>
      </c>
      <c r="D99" s="376"/>
      <c r="E99" s="376"/>
      <c r="F99" s="376"/>
      <c r="G99" s="376"/>
      <c r="H99" s="376"/>
      <c r="I99" s="376"/>
      <c r="J99" s="377">
        <f t="shared" ref="J99:Q99" si="21">($B$57*$N$20+$B$58*$N$21+$B$59*$N$23+$B$60*$N$24+$B$62*$N$25+$B$63*$N$27)*$D$14*(1+J$71)</f>
        <v>439014.77953949972</v>
      </c>
      <c r="K99" s="377">
        <f t="shared" si="21"/>
        <v>451895.96233324916</v>
      </c>
      <c r="L99" s="377">
        <f t="shared" si="21"/>
        <v>462170.01007214212</v>
      </c>
      <c r="M99" s="377">
        <f t="shared" si="21"/>
        <v>472678.75477737497</v>
      </c>
      <c r="N99" s="377">
        <f t="shared" si="21"/>
        <v>483427.58245779801</v>
      </c>
      <c r="O99" s="377">
        <f t="shared" si="21"/>
        <v>494422.00327304704</v>
      </c>
      <c r="P99" s="377">
        <f t="shared" si="21"/>
        <v>506109.58282967616</v>
      </c>
      <c r="Q99" s="377">
        <f t="shared" si="21"/>
        <v>517736.07034434844</v>
      </c>
    </row>
    <row r="100" spans="1:17" ht="30" x14ac:dyDescent="0.25">
      <c r="A100" s="938"/>
      <c r="B100" s="938"/>
      <c r="C100" s="485" t="s">
        <v>520</v>
      </c>
      <c r="D100" s="376"/>
      <c r="E100" s="376"/>
      <c r="F100" s="376"/>
      <c r="G100" s="376"/>
      <c r="H100" s="376"/>
      <c r="I100" s="376"/>
      <c r="J100" s="376"/>
      <c r="K100" s="376"/>
      <c r="L100" s="377">
        <f t="shared" ref="L100:Q100" si="22">($C$57*$L$20+$C$58*$L$21)*$D$14*(1+L$72)</f>
        <v>341693.65345318284</v>
      </c>
      <c r="M100" s="377">
        <f t="shared" si="22"/>
        <v>345323.7960162338</v>
      </c>
      <c r="N100" s="377">
        <f t="shared" si="22"/>
        <v>349007.72922836081</v>
      </c>
      <c r="O100" s="377">
        <f t="shared" si="22"/>
        <v>352746.60041296569</v>
      </c>
      <c r="P100" s="377">
        <f t="shared" si="22"/>
        <v>356864.62026144483</v>
      </c>
      <c r="Q100" s="377">
        <f t="shared" si="22"/>
        <v>360925.75884739577</v>
      </c>
    </row>
    <row r="101" spans="1:17" x14ac:dyDescent="0.25">
      <c r="A101" s="939"/>
      <c r="B101" s="939"/>
      <c r="C101" s="244" t="s">
        <v>521</v>
      </c>
      <c r="D101" s="376"/>
      <c r="E101" s="376"/>
      <c r="F101" s="376"/>
      <c r="G101" s="376"/>
      <c r="H101" s="376"/>
      <c r="I101" s="376"/>
      <c r="J101" s="376"/>
      <c r="K101" s="376"/>
      <c r="L101" s="376"/>
      <c r="M101" s="376"/>
      <c r="N101" s="377">
        <f>($D$61*$L$26+$D$63*$L$27+$D$64*$L$28+$D$65*$L$29)*$D$14*(1+N$72)</f>
        <v>0</v>
      </c>
      <c r="O101" s="377">
        <f>($D$61*$L$26+$D$63*$L$27+$D$64*$L$28+$D$65*$L$29)*$D$14*(1+O$72)</f>
        <v>0</v>
      </c>
      <c r="P101" s="377">
        <f>($D$61*$L$26+$D$63*$L$27+$D$64*$L$28+$D$65*$L$29)*$D$14*(1+P$72)</f>
        <v>0</v>
      </c>
      <c r="Q101" s="377">
        <f>($D$61*$L$26+$D$63*$L$27+$D$64*$L$28+$D$65*$L$29)*$D$14*(1+Q$72)</f>
        <v>0</v>
      </c>
    </row>
    <row r="102" spans="1:17" x14ac:dyDescent="0.25">
      <c r="A102" s="937" t="s">
        <v>239</v>
      </c>
      <c r="B102" s="937" t="s">
        <v>35</v>
      </c>
      <c r="C102" s="244" t="s">
        <v>822</v>
      </c>
      <c r="D102" s="376"/>
      <c r="E102" s="376"/>
      <c r="F102" s="376"/>
      <c r="G102" s="376"/>
      <c r="H102" s="376"/>
      <c r="I102" s="376"/>
      <c r="J102" s="377">
        <f t="shared" ref="J102:Q102" si="23">($B$57*$O$20+$B$58*$O$21+$B$59*$O$23+$B$60*$O$24+$B$62*$O$25+$B$63*$O$27)*$D$14*(1+J$71)</f>
        <v>156790.99269267847</v>
      </c>
      <c r="K102" s="377">
        <f t="shared" si="23"/>
        <v>161391.41511901756</v>
      </c>
      <c r="L102" s="377">
        <f t="shared" si="23"/>
        <v>165060.71788290789</v>
      </c>
      <c r="M102" s="377">
        <f t="shared" si="23"/>
        <v>168813.84099191963</v>
      </c>
      <c r="N102" s="377">
        <f t="shared" si="23"/>
        <v>172652.70802064214</v>
      </c>
      <c r="O102" s="377">
        <f t="shared" si="23"/>
        <v>176579.28688323111</v>
      </c>
      <c r="P102" s="377">
        <f t="shared" si="23"/>
        <v>180753.42243917007</v>
      </c>
      <c r="Q102" s="377">
        <f t="shared" si="23"/>
        <v>184905.73940869587</v>
      </c>
    </row>
    <row r="103" spans="1:17" ht="30" x14ac:dyDescent="0.25">
      <c r="A103" s="938"/>
      <c r="B103" s="938"/>
      <c r="C103" s="485" t="s">
        <v>520</v>
      </c>
      <c r="D103" s="376"/>
      <c r="E103" s="376"/>
      <c r="F103" s="376"/>
      <c r="G103" s="376"/>
      <c r="H103" s="376"/>
      <c r="I103" s="376"/>
      <c r="J103" s="376"/>
      <c r="K103" s="376"/>
      <c r="L103" s="377">
        <f t="shared" ref="L103:Q103" si="24">($C$57*$M$20+$C$58*$M$21)*$D$14*(1+L$72)</f>
        <v>0</v>
      </c>
      <c r="M103" s="377">
        <f t="shared" si="24"/>
        <v>0</v>
      </c>
      <c r="N103" s="377">
        <f t="shared" si="24"/>
        <v>0</v>
      </c>
      <c r="O103" s="377">
        <f t="shared" si="24"/>
        <v>0</v>
      </c>
      <c r="P103" s="377">
        <f t="shared" si="24"/>
        <v>0</v>
      </c>
      <c r="Q103" s="377">
        <f t="shared" si="24"/>
        <v>0</v>
      </c>
    </row>
    <row r="104" spans="1:17" x14ac:dyDescent="0.25">
      <c r="A104" s="939"/>
      <c r="B104" s="939"/>
      <c r="C104" s="244" t="s">
        <v>521</v>
      </c>
      <c r="D104" s="376"/>
      <c r="E104" s="376"/>
      <c r="F104" s="376"/>
      <c r="G104" s="376"/>
      <c r="H104" s="376"/>
      <c r="I104" s="376"/>
      <c r="J104" s="376"/>
      <c r="K104" s="376"/>
      <c r="L104" s="376"/>
      <c r="M104" s="376"/>
      <c r="N104" s="377">
        <f>($D$61*$M$26+$D$63*$M$27+$D$64*$M$28+$D$65*$M$29)*$D$14*(1+N$72)</f>
        <v>456394.72283708723</v>
      </c>
      <c r="O104" s="377">
        <f>($D$61*$M$26+$D$63*$M$27+$D$64*$M$28+$D$65*$M$29)*$D$14*(1+O$72)</f>
        <v>461284.01592464745</v>
      </c>
      <c r="P104" s="377">
        <f>($D$61*$M$26+$D$63*$M$27+$D$64*$M$28+$D$65*$M$29)*$D$14*(1+P$72)</f>
        <v>466669.11880342785</v>
      </c>
      <c r="Q104" s="377">
        <f>($D$61*$M$26+$D$63*$M$27+$D$64*$M$28+$D$65*$M$29)*$D$14*(1+Q$72)</f>
        <v>471979.83849274833</v>
      </c>
    </row>
    <row r="105" spans="1:17" s="267" customFormat="1" x14ac:dyDescent="0.25">
      <c r="A105" s="644" t="s">
        <v>843</v>
      </c>
      <c r="B105" s="958" t="s">
        <v>34</v>
      </c>
      <c r="C105" s="955" t="s">
        <v>520</v>
      </c>
      <c r="D105" s="645"/>
      <c r="E105" s="646">
        <f t="shared" ref="E105:K107" si="25">($C$57+$C$58)*$J8/7</f>
        <v>928571.42857142852</v>
      </c>
      <c r="F105" s="646">
        <f t="shared" si="25"/>
        <v>928571.42857142852</v>
      </c>
      <c r="G105" s="646">
        <f t="shared" si="25"/>
        <v>928571.42857142852</v>
      </c>
      <c r="H105" s="646">
        <f t="shared" si="25"/>
        <v>928571.42857142852</v>
      </c>
      <c r="I105" s="646">
        <f t="shared" si="25"/>
        <v>928571.42857142852</v>
      </c>
      <c r="J105" s="646">
        <f t="shared" si="25"/>
        <v>928571.42857142852</v>
      </c>
      <c r="K105" s="646">
        <f t="shared" si="25"/>
        <v>928571.42857142852</v>
      </c>
      <c r="L105" s="645"/>
      <c r="M105" s="645"/>
      <c r="N105" s="645"/>
      <c r="O105" s="645"/>
      <c r="P105" s="645"/>
      <c r="Q105" s="645"/>
    </row>
    <row r="106" spans="1:17" s="267" customFormat="1" x14ac:dyDescent="0.25">
      <c r="A106" s="644" t="s">
        <v>844</v>
      </c>
      <c r="B106" s="959"/>
      <c r="C106" s="956"/>
      <c r="D106" s="645"/>
      <c r="E106" s="646">
        <f t="shared" si="25"/>
        <v>7127714.2114285706</v>
      </c>
      <c r="F106" s="646">
        <f t="shared" si="25"/>
        <v>7127714.2114285706</v>
      </c>
      <c r="G106" s="646">
        <f t="shared" si="25"/>
        <v>7127714.2114285706</v>
      </c>
      <c r="H106" s="646">
        <f t="shared" si="25"/>
        <v>7127714.2114285706</v>
      </c>
      <c r="I106" s="646">
        <f t="shared" si="25"/>
        <v>7127714.2114285706</v>
      </c>
      <c r="J106" s="646">
        <f t="shared" si="25"/>
        <v>7127714.2114285706</v>
      </c>
      <c r="K106" s="646">
        <f t="shared" si="25"/>
        <v>7127714.2114285706</v>
      </c>
      <c r="L106" s="645"/>
      <c r="M106" s="645"/>
      <c r="N106" s="645"/>
      <c r="O106" s="645"/>
      <c r="P106" s="645"/>
      <c r="Q106" s="645"/>
    </row>
    <row r="107" spans="1:17" s="267" customFormat="1" x14ac:dyDescent="0.25">
      <c r="A107" s="644" t="s">
        <v>845</v>
      </c>
      <c r="B107" s="960"/>
      <c r="C107" s="957"/>
      <c r="D107" s="645"/>
      <c r="E107" s="646">
        <f t="shared" si="25"/>
        <v>2375904.7371428572</v>
      </c>
      <c r="F107" s="646">
        <f t="shared" si="25"/>
        <v>2375904.7371428572</v>
      </c>
      <c r="G107" s="646">
        <f t="shared" si="25"/>
        <v>2375904.7371428572</v>
      </c>
      <c r="H107" s="646">
        <f t="shared" si="25"/>
        <v>2375904.7371428572</v>
      </c>
      <c r="I107" s="646">
        <f t="shared" si="25"/>
        <v>2375904.7371428572</v>
      </c>
      <c r="J107" s="646">
        <f t="shared" si="25"/>
        <v>2375904.7371428572</v>
      </c>
      <c r="K107" s="646">
        <f t="shared" si="25"/>
        <v>2375904.7371428572</v>
      </c>
      <c r="L107" s="645"/>
      <c r="M107" s="645"/>
      <c r="N107" s="645"/>
      <c r="O107" s="645"/>
      <c r="P107" s="645"/>
      <c r="Q107" s="645"/>
    </row>
    <row r="108" spans="1:17" s="267" customFormat="1" x14ac:dyDescent="0.25">
      <c r="A108" s="644" t="s">
        <v>843</v>
      </c>
      <c r="B108" s="958" t="s">
        <v>35</v>
      </c>
      <c r="C108" s="958" t="s">
        <v>521</v>
      </c>
      <c r="D108" s="645"/>
      <c r="E108" s="645"/>
      <c r="F108" s="645"/>
      <c r="G108" s="646">
        <f t="shared" ref="G108:M110" si="26">SUM($D$61:$D$65)*$K8/7</f>
        <v>1214285.7142857143</v>
      </c>
      <c r="H108" s="646">
        <f t="shared" si="26"/>
        <v>1214285.7142857143</v>
      </c>
      <c r="I108" s="646">
        <f t="shared" si="26"/>
        <v>1214285.7142857143</v>
      </c>
      <c r="J108" s="646">
        <f t="shared" si="26"/>
        <v>1214285.7142857143</v>
      </c>
      <c r="K108" s="646">
        <f t="shared" si="26"/>
        <v>1214285.7142857143</v>
      </c>
      <c r="L108" s="646">
        <f t="shared" si="26"/>
        <v>1214285.7142857143</v>
      </c>
      <c r="M108" s="646">
        <f t="shared" si="26"/>
        <v>1214285.7142857143</v>
      </c>
      <c r="N108" s="645"/>
      <c r="O108" s="645"/>
      <c r="P108" s="645"/>
      <c r="Q108" s="645"/>
    </row>
    <row r="109" spans="1:17" s="267" customFormat="1" x14ac:dyDescent="0.25">
      <c r="A109" s="644" t="s">
        <v>844</v>
      </c>
      <c r="B109" s="959"/>
      <c r="C109" s="959"/>
      <c r="D109" s="645"/>
      <c r="E109" s="645"/>
      <c r="F109" s="645"/>
      <c r="G109" s="646">
        <f t="shared" si="26"/>
        <v>9320857.0457142852</v>
      </c>
      <c r="H109" s="646">
        <f t="shared" si="26"/>
        <v>9320857.0457142852</v>
      </c>
      <c r="I109" s="646">
        <f t="shared" si="26"/>
        <v>9320857.0457142852</v>
      </c>
      <c r="J109" s="646">
        <f t="shared" si="26"/>
        <v>9320857.0457142852</v>
      </c>
      <c r="K109" s="646">
        <f t="shared" si="26"/>
        <v>9320857.0457142852</v>
      </c>
      <c r="L109" s="646">
        <f t="shared" si="26"/>
        <v>9320857.0457142852</v>
      </c>
      <c r="M109" s="646">
        <f t="shared" si="26"/>
        <v>9320857.0457142852</v>
      </c>
      <c r="N109" s="645"/>
      <c r="O109" s="645"/>
      <c r="P109" s="645"/>
      <c r="Q109" s="645"/>
    </row>
    <row r="110" spans="1:17" s="267" customFormat="1" x14ac:dyDescent="0.25">
      <c r="A110" s="644" t="s">
        <v>845</v>
      </c>
      <c r="B110" s="960"/>
      <c r="C110" s="960"/>
      <c r="D110" s="645"/>
      <c r="E110" s="645"/>
      <c r="F110" s="645"/>
      <c r="G110" s="646">
        <f t="shared" si="26"/>
        <v>3106952.3485714286</v>
      </c>
      <c r="H110" s="646">
        <f t="shared" si="26"/>
        <v>3106952.3485714286</v>
      </c>
      <c r="I110" s="646">
        <f t="shared" si="26"/>
        <v>3106952.3485714286</v>
      </c>
      <c r="J110" s="646">
        <f t="shared" si="26"/>
        <v>3106952.3485714286</v>
      </c>
      <c r="K110" s="646">
        <f t="shared" si="26"/>
        <v>3106952.3485714286</v>
      </c>
      <c r="L110" s="646">
        <f t="shared" si="26"/>
        <v>3106952.3485714286</v>
      </c>
      <c r="M110" s="646">
        <f t="shared" si="26"/>
        <v>3106952.3485714286</v>
      </c>
      <c r="N110" s="645"/>
      <c r="O110" s="645"/>
      <c r="P110" s="645"/>
      <c r="Q110" s="645"/>
    </row>
    <row r="111" spans="1:17" s="21" customFormat="1" x14ac:dyDescent="0.25">
      <c r="A111" s="223"/>
      <c r="B111" s="223"/>
      <c r="C111" s="14"/>
      <c r="D111" s="224"/>
      <c r="E111" s="224"/>
      <c r="F111" s="224"/>
      <c r="G111" s="224"/>
      <c r="H111" s="224"/>
      <c r="I111" s="14"/>
      <c r="J111" s="14"/>
      <c r="K111" s="14"/>
      <c r="L111" s="14"/>
      <c r="M111" s="14"/>
      <c r="N111" s="14"/>
      <c r="O111" s="14"/>
      <c r="P111" s="14"/>
      <c r="Q111" s="14"/>
    </row>
    <row r="112" spans="1:17" s="21" customFormat="1" x14ac:dyDescent="0.25">
      <c r="A112" s="226" t="s">
        <v>156</v>
      </c>
      <c r="B112" s="223"/>
      <c r="C112" s="14"/>
      <c r="D112" s="224"/>
      <c r="E112" s="224"/>
      <c r="F112" s="224"/>
      <c r="G112" s="224"/>
      <c r="H112" s="224"/>
      <c r="I112" s="14"/>
      <c r="J112" s="14"/>
      <c r="K112" s="14"/>
      <c r="L112" s="14"/>
      <c r="M112" s="14"/>
      <c r="N112" s="14"/>
      <c r="O112" s="14"/>
      <c r="P112" s="14"/>
      <c r="Q112" s="14"/>
    </row>
    <row r="113" spans="1:17" s="21" customFormat="1" x14ac:dyDescent="0.25">
      <c r="A113" s="225" t="s">
        <v>447</v>
      </c>
      <c r="B113" s="223"/>
      <c r="C113" s="14"/>
      <c r="D113" s="224"/>
      <c r="E113" s="224"/>
      <c r="F113" s="224"/>
      <c r="G113" s="224"/>
      <c r="H113" s="224"/>
      <c r="I113" s="14"/>
      <c r="J113" s="14"/>
      <c r="K113" s="14"/>
      <c r="L113" s="14"/>
      <c r="M113" s="14"/>
      <c r="N113" s="14"/>
      <c r="O113" s="14"/>
      <c r="P113" s="14"/>
      <c r="Q113" s="14"/>
    </row>
    <row r="114" spans="1:17" s="21" customFormat="1" x14ac:dyDescent="0.25">
      <c r="A114" s="220" t="s">
        <v>387</v>
      </c>
      <c r="B114" s="223"/>
      <c r="C114" s="14"/>
      <c r="D114" s="224"/>
      <c r="E114" s="224"/>
      <c r="F114" s="224"/>
      <c r="G114" s="224"/>
      <c r="H114" s="224"/>
      <c r="I114" s="14"/>
      <c r="J114" s="14"/>
      <c r="K114" s="14"/>
      <c r="L114" s="14"/>
      <c r="M114" s="14"/>
      <c r="N114" s="14"/>
      <c r="O114" s="14"/>
      <c r="P114" s="14"/>
      <c r="Q114" s="14"/>
    </row>
    <row r="115" spans="1:17" s="21" customFormat="1" x14ac:dyDescent="0.25">
      <c r="A115" s="225" t="s">
        <v>448</v>
      </c>
      <c r="B115" s="223"/>
      <c r="C115" s="14"/>
      <c r="D115" s="224"/>
      <c r="E115" s="224"/>
      <c r="F115" s="224"/>
      <c r="G115" s="224"/>
      <c r="H115" s="224"/>
      <c r="I115" s="14"/>
      <c r="J115" s="14"/>
      <c r="K115" s="14"/>
      <c r="L115" s="14"/>
      <c r="M115" s="14"/>
      <c r="N115" s="14"/>
      <c r="O115" s="14"/>
      <c r="P115" s="14"/>
      <c r="Q115" s="14"/>
    </row>
    <row r="116" spans="1:17" s="21" customFormat="1" x14ac:dyDescent="0.25">
      <c r="A116" s="220" t="s">
        <v>387</v>
      </c>
      <c r="B116" s="223"/>
      <c r="C116" s="14"/>
      <c r="D116" s="224"/>
      <c r="E116" s="224"/>
      <c r="F116" s="224"/>
      <c r="G116" s="224"/>
      <c r="H116" s="224"/>
      <c r="I116" s="14"/>
      <c r="J116" s="14"/>
      <c r="K116" s="14"/>
      <c r="L116" s="14"/>
      <c r="M116" s="14"/>
      <c r="N116" s="14"/>
      <c r="O116" s="14"/>
      <c r="P116" s="14"/>
      <c r="Q116" s="14"/>
    </row>
    <row r="117" spans="1:17" s="21" customFormat="1" x14ac:dyDescent="0.25">
      <c r="A117" s="225" t="s">
        <v>449</v>
      </c>
      <c r="B117" s="223"/>
      <c r="C117" s="14"/>
      <c r="D117" s="224"/>
      <c r="E117" s="224"/>
      <c r="F117" s="224"/>
      <c r="G117" s="224"/>
      <c r="H117" s="224"/>
      <c r="I117" s="14"/>
      <c r="J117" s="14"/>
      <c r="K117" s="14"/>
      <c r="L117" s="14"/>
      <c r="M117" s="14"/>
      <c r="N117" s="14"/>
      <c r="O117" s="14"/>
      <c r="P117" s="14"/>
      <c r="Q117" s="14"/>
    </row>
    <row r="118" spans="1:17" s="21" customFormat="1" x14ac:dyDescent="0.25">
      <c r="A118" s="225" t="s">
        <v>450</v>
      </c>
      <c r="B118" s="223"/>
      <c r="C118" s="14"/>
      <c r="D118" s="224"/>
      <c r="E118" s="224"/>
      <c r="F118" s="224"/>
      <c r="G118" s="224"/>
      <c r="H118" s="224"/>
      <c r="I118" s="14"/>
      <c r="J118" s="14"/>
      <c r="K118" s="14"/>
      <c r="L118" s="14"/>
      <c r="M118" s="14"/>
      <c r="N118" s="14"/>
      <c r="O118" s="14"/>
      <c r="P118" s="14"/>
      <c r="Q118" s="14"/>
    </row>
    <row r="119" spans="1:17" s="21" customFormat="1" x14ac:dyDescent="0.25">
      <c r="A119" s="225" t="s">
        <v>446</v>
      </c>
      <c r="B119" s="223"/>
      <c r="C119" s="14"/>
      <c r="D119" s="224"/>
      <c r="E119" s="224"/>
      <c r="F119" s="224"/>
      <c r="G119" s="224"/>
      <c r="H119" s="224"/>
      <c r="I119" s="14"/>
      <c r="J119" s="14"/>
      <c r="K119" s="14"/>
      <c r="L119" s="14"/>
      <c r="M119" s="14"/>
      <c r="N119" s="14"/>
      <c r="O119" s="14"/>
      <c r="P119" s="14"/>
      <c r="Q119" s="14"/>
    </row>
    <row r="120" spans="1:17" s="21" customFormat="1" x14ac:dyDescent="0.25">
      <c r="A120" s="225" t="s">
        <v>451</v>
      </c>
      <c r="B120" s="223"/>
      <c r="C120" s="14"/>
      <c r="D120" s="224"/>
      <c r="E120" s="224"/>
      <c r="F120" s="224"/>
      <c r="G120" s="224"/>
      <c r="H120" s="224"/>
      <c r="I120" s="14"/>
      <c r="J120" s="14"/>
      <c r="K120" s="14"/>
      <c r="L120" s="14"/>
      <c r="M120" s="14"/>
      <c r="N120" s="14"/>
      <c r="O120" s="14"/>
      <c r="P120" s="14"/>
      <c r="Q120" s="14"/>
    </row>
    <row r="121" spans="1:17" s="21" customFormat="1" x14ac:dyDescent="0.25">
      <c r="A121" s="225" t="s">
        <v>715</v>
      </c>
      <c r="B121" s="223"/>
      <c r="C121" s="14"/>
      <c r="D121" s="224"/>
      <c r="E121" s="224"/>
      <c r="F121" s="224"/>
      <c r="G121" s="224"/>
      <c r="H121" s="224"/>
      <c r="I121" s="14"/>
      <c r="J121" s="14"/>
      <c r="K121" s="14"/>
      <c r="L121" s="14"/>
      <c r="M121" s="14"/>
      <c r="N121" s="14"/>
      <c r="O121" s="14"/>
      <c r="P121" s="14"/>
      <c r="Q121" s="14"/>
    </row>
    <row r="122" spans="1:17" s="21" customFormat="1" x14ac:dyDescent="0.25">
      <c r="A122" s="220" t="s">
        <v>842</v>
      </c>
      <c r="B122" s="223"/>
      <c r="C122" s="14"/>
      <c r="D122" s="224"/>
      <c r="E122" s="224"/>
      <c r="F122" s="224"/>
      <c r="G122" s="224"/>
      <c r="H122" s="224"/>
      <c r="I122" s="14"/>
      <c r="J122" s="14"/>
      <c r="K122" s="14"/>
      <c r="L122" s="14"/>
      <c r="M122" s="14"/>
      <c r="N122" s="14"/>
      <c r="O122" s="14"/>
      <c r="P122" s="14"/>
      <c r="Q122" s="14"/>
    </row>
    <row r="123" spans="1:17" s="21" customFormat="1" x14ac:dyDescent="0.25">
      <c r="A123" s="225"/>
      <c r="B123" s="223"/>
      <c r="C123" s="14"/>
      <c r="D123" s="224"/>
      <c r="E123" s="224"/>
      <c r="F123" s="224"/>
      <c r="G123" s="224"/>
      <c r="H123" s="224"/>
      <c r="I123" s="14"/>
      <c r="J123" s="14"/>
      <c r="K123" s="14"/>
      <c r="L123" s="14"/>
      <c r="M123" s="14"/>
      <c r="N123" s="14"/>
      <c r="O123" s="14"/>
      <c r="P123" s="14"/>
      <c r="Q123" s="14"/>
    </row>
    <row r="124" spans="1:17" s="21" customFormat="1" x14ac:dyDescent="0.25">
      <c r="A124" s="248" t="s">
        <v>227</v>
      </c>
      <c r="B124" s="223"/>
      <c r="C124" s="14"/>
      <c r="D124" s="224"/>
      <c r="E124" s="224"/>
      <c r="F124" s="224"/>
      <c r="G124" s="224"/>
      <c r="H124" s="224"/>
      <c r="I124" s="14"/>
      <c r="J124" s="14"/>
      <c r="K124" s="14"/>
      <c r="L124" s="14"/>
      <c r="M124" s="14"/>
      <c r="N124" s="14"/>
      <c r="O124" s="14"/>
      <c r="P124" s="14"/>
      <c r="Q124" s="14"/>
    </row>
    <row r="125" spans="1:17" s="21" customFormat="1" ht="30" customHeight="1" x14ac:dyDescent="0.25">
      <c r="A125" s="830" t="s">
        <v>904</v>
      </c>
      <c r="B125" s="830"/>
      <c r="C125" s="830"/>
      <c r="D125" s="182">
        <v>2019</v>
      </c>
      <c r="E125" s="182">
        <v>2020</v>
      </c>
      <c r="F125" s="182">
        <v>2021</v>
      </c>
      <c r="G125" s="182">
        <v>2022</v>
      </c>
      <c r="H125" s="182">
        <v>2023</v>
      </c>
      <c r="I125" s="182">
        <v>2024</v>
      </c>
      <c r="J125" s="182">
        <v>2025</v>
      </c>
      <c r="K125" s="182">
        <v>2026</v>
      </c>
      <c r="L125" s="182">
        <v>2027</v>
      </c>
      <c r="M125" s="182">
        <v>2028</v>
      </c>
      <c r="N125" s="182">
        <v>2029</v>
      </c>
      <c r="O125" s="182">
        <v>2030</v>
      </c>
      <c r="P125" s="181">
        <v>2031</v>
      </c>
      <c r="Q125" s="181">
        <v>2032</v>
      </c>
    </row>
    <row r="126" spans="1:17" x14ac:dyDescent="0.25">
      <c r="A126" s="848" t="s">
        <v>259</v>
      </c>
      <c r="B126" s="848"/>
      <c r="C126" s="848"/>
      <c r="D126" s="377">
        <f t="shared" ref="D126:Q126" si="27">SUM(D76:D79,D84:D89)</f>
        <v>0</v>
      </c>
      <c r="E126" s="377">
        <f t="shared" si="27"/>
        <v>8658927.6161869317</v>
      </c>
      <c r="F126" s="377">
        <f t="shared" si="27"/>
        <v>8976730.7130849846</v>
      </c>
      <c r="G126" s="377">
        <f t="shared" si="27"/>
        <v>9307193.5509506054</v>
      </c>
      <c r="H126" s="377">
        <f t="shared" si="27"/>
        <v>9650745.3615741916</v>
      </c>
      <c r="I126" s="377">
        <f t="shared" si="27"/>
        <v>10007841.201827196</v>
      </c>
      <c r="J126" s="377">
        <f t="shared" si="27"/>
        <v>10397502.603333814</v>
      </c>
      <c r="K126" s="377">
        <f t="shared" si="27"/>
        <v>10766242.171116062</v>
      </c>
      <c r="L126" s="377">
        <f t="shared" si="27"/>
        <v>11150138.306788586</v>
      </c>
      <c r="M126" s="377">
        <f t="shared" si="27"/>
        <v>11549591.473098563</v>
      </c>
      <c r="N126" s="377">
        <f t="shared" si="27"/>
        <v>11965046.27011255</v>
      </c>
      <c r="O126" s="377">
        <f t="shared" si="27"/>
        <v>12396987.156011166</v>
      </c>
      <c r="P126" s="377">
        <f t="shared" si="27"/>
        <v>12867450.665802112</v>
      </c>
      <c r="Q126" s="377">
        <f t="shared" si="27"/>
        <v>13355918.808122212</v>
      </c>
    </row>
    <row r="127" spans="1:17" ht="15.75" thickBot="1" x14ac:dyDescent="0.3">
      <c r="A127" s="900" t="s">
        <v>33</v>
      </c>
      <c r="B127" s="900"/>
      <c r="C127" s="900"/>
      <c r="D127" s="378">
        <f t="shared" ref="D127:Q127" si="28">SUM(D80:D83)</f>
        <v>0</v>
      </c>
      <c r="E127" s="378">
        <f t="shared" si="28"/>
        <v>0</v>
      </c>
      <c r="F127" s="378">
        <f t="shared" si="28"/>
        <v>60114.821673651895</v>
      </c>
      <c r="G127" s="378">
        <f t="shared" si="28"/>
        <v>62327.467914994108</v>
      </c>
      <c r="H127" s="378">
        <f t="shared" si="28"/>
        <v>64621.555026541457</v>
      </c>
      <c r="I127" s="378">
        <f t="shared" si="28"/>
        <v>67000.080602403148</v>
      </c>
      <c r="J127" s="378">
        <f t="shared" si="28"/>
        <v>69466.152569135913</v>
      </c>
      <c r="K127" s="378">
        <f t="shared" si="28"/>
        <v>72022.993246748316</v>
      </c>
      <c r="L127" s="378">
        <f t="shared" si="28"/>
        <v>74673.943559181105</v>
      </c>
      <c r="M127" s="378">
        <f t="shared" si="28"/>
        <v>77422.467399764253</v>
      </c>
      <c r="N127" s="378">
        <f t="shared" si="28"/>
        <v>80272.156157347184</v>
      </c>
      <c r="O127" s="378">
        <f t="shared" si="28"/>
        <v>83226.733409030625</v>
      </c>
      <c r="P127" s="378">
        <f t="shared" si="28"/>
        <v>86290.059785616788</v>
      </c>
      <c r="Q127" s="378">
        <f t="shared" si="28"/>
        <v>89466.1380161462</v>
      </c>
    </row>
    <row r="128" spans="1:17" ht="15.75" thickTop="1" x14ac:dyDescent="0.25">
      <c r="A128" s="888" t="s">
        <v>75</v>
      </c>
      <c r="B128" s="888"/>
      <c r="C128" s="888"/>
      <c r="D128" s="379">
        <f>SUM(D126:D127)</f>
        <v>0</v>
      </c>
      <c r="E128" s="379">
        <f t="shared" ref="E128:Q128" si="29">SUM(E126:E127)</f>
        <v>8658927.6161869317</v>
      </c>
      <c r="F128" s="379">
        <f t="shared" si="29"/>
        <v>9036845.5347586367</v>
      </c>
      <c r="G128" s="379">
        <f t="shared" si="29"/>
        <v>9369521.0188656002</v>
      </c>
      <c r="H128" s="379">
        <f t="shared" si="29"/>
        <v>9715366.9166007321</v>
      </c>
      <c r="I128" s="379">
        <f t="shared" si="29"/>
        <v>10074841.2824296</v>
      </c>
      <c r="J128" s="379">
        <f t="shared" si="29"/>
        <v>10466968.75590295</v>
      </c>
      <c r="K128" s="379">
        <f t="shared" si="29"/>
        <v>10838265.164362811</v>
      </c>
      <c r="L128" s="379">
        <f t="shared" si="29"/>
        <v>11224812.250347767</v>
      </c>
      <c r="M128" s="379">
        <f t="shared" si="29"/>
        <v>11627013.940498328</v>
      </c>
      <c r="N128" s="379">
        <f t="shared" si="29"/>
        <v>12045318.426269896</v>
      </c>
      <c r="O128" s="379">
        <f t="shared" si="29"/>
        <v>12480213.889420196</v>
      </c>
      <c r="P128" s="379">
        <f t="shared" si="29"/>
        <v>12953740.725587729</v>
      </c>
      <c r="Q128" s="379">
        <f t="shared" si="29"/>
        <v>13445384.946138358</v>
      </c>
    </row>
    <row r="130" spans="1:17" s="21" customFormat="1" ht="30" customHeight="1" x14ac:dyDescent="0.25">
      <c r="A130" s="830" t="s">
        <v>905</v>
      </c>
      <c r="B130" s="830"/>
      <c r="C130" s="830"/>
      <c r="D130" s="182">
        <v>2019</v>
      </c>
      <c r="E130" s="182">
        <v>2020</v>
      </c>
      <c r="F130" s="182">
        <v>2021</v>
      </c>
      <c r="G130" s="182">
        <v>2022</v>
      </c>
      <c r="H130" s="182">
        <v>2023</v>
      </c>
      <c r="I130" s="182">
        <v>2024</v>
      </c>
      <c r="J130" s="182">
        <v>2025</v>
      </c>
      <c r="K130" s="182">
        <v>2026</v>
      </c>
      <c r="L130" s="182">
        <v>2027</v>
      </c>
      <c r="M130" s="182">
        <v>2028</v>
      </c>
      <c r="N130" s="182">
        <v>2029</v>
      </c>
      <c r="O130" s="182">
        <v>2030</v>
      </c>
      <c r="P130" s="181">
        <v>2031</v>
      </c>
      <c r="Q130" s="181">
        <v>2032</v>
      </c>
    </row>
    <row r="131" spans="1:17" x14ac:dyDescent="0.25">
      <c r="A131" s="848" t="s">
        <v>81</v>
      </c>
      <c r="B131" s="848"/>
      <c r="C131" s="848"/>
      <c r="D131" s="377">
        <f t="shared" ref="D131:Q131" si="30">SUM(D76,D78,D80,D82,D84,D86,D88)</f>
        <v>0</v>
      </c>
      <c r="E131" s="377">
        <f t="shared" si="30"/>
        <v>921237.50235713599</v>
      </c>
      <c r="F131" s="377">
        <f t="shared" si="30"/>
        <v>954239.43923545443</v>
      </c>
      <c r="G131" s="377">
        <f t="shared" si="30"/>
        <v>989418.44078448159</v>
      </c>
      <c r="H131" s="377">
        <f t="shared" si="30"/>
        <v>1026817.9029281614</v>
      </c>
      <c r="I131" s="377">
        <f t="shared" si="30"/>
        <v>1066492.8452108107</v>
      </c>
      <c r="J131" s="377">
        <f t="shared" si="30"/>
        <v>1127050.0377554337</v>
      </c>
      <c r="K131" s="377">
        <f t="shared" si="30"/>
        <v>1154572.0579564099</v>
      </c>
      <c r="L131" s="377">
        <f t="shared" si="30"/>
        <v>1184691.4517739022</v>
      </c>
      <c r="M131" s="377">
        <f t="shared" si="30"/>
        <v>1217346.4156913066</v>
      </c>
      <c r="N131" s="377">
        <f t="shared" si="30"/>
        <v>1252502.2688773288</v>
      </c>
      <c r="O131" s="377">
        <f t="shared" si="30"/>
        <v>1290146.5477224842</v>
      </c>
      <c r="P131" s="377">
        <f t="shared" si="30"/>
        <v>1351800.5752441525</v>
      </c>
      <c r="Q131" s="377">
        <f t="shared" si="30"/>
        <v>1416412.1846810572</v>
      </c>
    </row>
    <row r="132" spans="1:17" ht="15.75" thickBot="1" x14ac:dyDescent="0.3">
      <c r="A132" s="900" t="s">
        <v>14</v>
      </c>
      <c r="B132" s="900"/>
      <c r="C132" s="900"/>
      <c r="D132" s="378">
        <f t="shared" ref="D132:Q132" si="31">SUM(D77,D79,D81,D83,D85,D87,D89)</f>
        <v>0</v>
      </c>
      <c r="E132" s="378">
        <f t="shared" si="31"/>
        <v>7737690.1138297953</v>
      </c>
      <c r="F132" s="378">
        <f t="shared" si="31"/>
        <v>8082606.0955231832</v>
      </c>
      <c r="G132" s="378">
        <f t="shared" si="31"/>
        <v>8380102.5780811179</v>
      </c>
      <c r="H132" s="378">
        <f t="shared" si="31"/>
        <v>8688549.0136725716</v>
      </c>
      <c r="I132" s="378">
        <f t="shared" si="31"/>
        <v>9008348.437218789</v>
      </c>
      <c r="J132" s="378">
        <f t="shared" si="31"/>
        <v>9339918.7181475163</v>
      </c>
      <c r="K132" s="378">
        <f t="shared" si="31"/>
        <v>9683693.1064064</v>
      </c>
      <c r="L132" s="378">
        <f t="shared" si="31"/>
        <v>10040120.798573865</v>
      </c>
      <c r="M132" s="378">
        <f t="shared" si="31"/>
        <v>10409667.524807021</v>
      </c>
      <c r="N132" s="378">
        <f t="shared" si="31"/>
        <v>10792816.157392567</v>
      </c>
      <c r="O132" s="378">
        <f t="shared" si="31"/>
        <v>11190067.341697711</v>
      </c>
      <c r="P132" s="378">
        <f t="shared" si="31"/>
        <v>11601940.150343576</v>
      </c>
      <c r="Q132" s="378">
        <f t="shared" si="31"/>
        <v>12028972.7614573</v>
      </c>
    </row>
    <row r="133" spans="1:17" ht="15.75" thickTop="1" x14ac:dyDescent="0.25">
      <c r="A133" s="888" t="s">
        <v>75</v>
      </c>
      <c r="B133" s="888"/>
      <c r="C133" s="888"/>
      <c r="D133" s="379">
        <f>SUM(D131:D132)</f>
        <v>0</v>
      </c>
      <c r="E133" s="379">
        <f t="shared" ref="E133" si="32">SUM(E131:E132)</f>
        <v>8658927.6161869317</v>
      </c>
      <c r="F133" s="379">
        <f t="shared" ref="F133" si="33">SUM(F131:F132)</f>
        <v>9036845.5347586386</v>
      </c>
      <c r="G133" s="379">
        <f t="shared" ref="G133" si="34">SUM(G131:G132)</f>
        <v>9369521.0188656002</v>
      </c>
      <c r="H133" s="379">
        <f t="shared" ref="H133" si="35">SUM(H131:H132)</f>
        <v>9715366.916600734</v>
      </c>
      <c r="I133" s="379">
        <f t="shared" ref="I133" si="36">SUM(I131:I132)</f>
        <v>10074841.2824296</v>
      </c>
      <c r="J133" s="379">
        <f t="shared" ref="J133" si="37">SUM(J131:J132)</f>
        <v>10466968.75590295</v>
      </c>
      <c r="K133" s="379">
        <f t="shared" ref="K133" si="38">SUM(K131:K132)</f>
        <v>10838265.164362811</v>
      </c>
      <c r="L133" s="379">
        <f t="shared" ref="L133" si="39">SUM(L131:L132)</f>
        <v>11224812.250347767</v>
      </c>
      <c r="M133" s="379">
        <f t="shared" ref="M133" si="40">SUM(M131:M132)</f>
        <v>11627013.940498328</v>
      </c>
      <c r="N133" s="379">
        <f t="shared" ref="N133" si="41">SUM(N131:N132)</f>
        <v>12045318.426269896</v>
      </c>
      <c r="O133" s="379">
        <f t="shared" ref="O133" si="42">SUM(O131:O132)</f>
        <v>12480213.889420196</v>
      </c>
      <c r="P133" s="379">
        <f t="shared" ref="P133" si="43">SUM(P131:P132)</f>
        <v>12953740.725587729</v>
      </c>
      <c r="Q133" s="379">
        <f t="shared" ref="Q133" si="44">SUM(Q131:Q132)</f>
        <v>13445384.946138358</v>
      </c>
    </row>
    <row r="134" spans="1:17" s="18" customFormat="1" x14ac:dyDescent="0.25">
      <c r="A134" s="125" t="s">
        <v>906</v>
      </c>
      <c r="B134" s="125"/>
      <c r="C134" s="125"/>
      <c r="D134" s="249"/>
      <c r="E134" s="249"/>
      <c r="F134" s="249"/>
      <c r="G134" s="249"/>
      <c r="H134" s="249"/>
      <c r="I134" s="249"/>
      <c r="J134" s="249"/>
      <c r="K134" s="249"/>
      <c r="L134" s="249"/>
      <c r="M134" s="249"/>
      <c r="N134" s="249"/>
      <c r="O134" s="249"/>
      <c r="P134" s="249"/>
      <c r="Q134" s="249"/>
    </row>
    <row r="136" spans="1:17" s="21" customFormat="1" ht="30" customHeight="1" x14ac:dyDescent="0.25">
      <c r="A136" s="830" t="s">
        <v>41</v>
      </c>
      <c r="B136" s="830"/>
      <c r="C136" s="830"/>
      <c r="D136" s="182">
        <v>2019</v>
      </c>
      <c r="E136" s="182">
        <v>2020</v>
      </c>
      <c r="F136" s="182">
        <v>2021</v>
      </c>
      <c r="G136" s="182">
        <v>2022</v>
      </c>
      <c r="H136" s="182">
        <v>2023</v>
      </c>
      <c r="I136" s="182">
        <v>2024</v>
      </c>
      <c r="J136" s="182">
        <v>2025</v>
      </c>
      <c r="K136" s="182">
        <v>2026</v>
      </c>
      <c r="L136" s="182">
        <v>2027</v>
      </c>
      <c r="M136" s="182">
        <v>2028</v>
      </c>
      <c r="N136" s="182">
        <v>2029</v>
      </c>
      <c r="O136" s="182">
        <v>2030</v>
      </c>
      <c r="P136" s="181">
        <v>2031</v>
      </c>
      <c r="Q136" s="181">
        <v>2032</v>
      </c>
    </row>
    <row r="137" spans="1:17" x14ac:dyDescent="0.25">
      <c r="A137" s="848" t="s">
        <v>259</v>
      </c>
      <c r="B137" s="848"/>
      <c r="C137" s="848"/>
      <c r="D137" s="377">
        <f t="shared" ref="D137:Q137" si="45">SUM(D76:D79,D84:D89,D93:D98)</f>
        <v>0</v>
      </c>
      <c r="E137" s="377">
        <f t="shared" si="45"/>
        <v>8658927.6161869317</v>
      </c>
      <c r="F137" s="377">
        <f t="shared" si="45"/>
        <v>8976730.7130849846</v>
      </c>
      <c r="G137" s="377">
        <f t="shared" si="45"/>
        <v>9307193.5509506054</v>
      </c>
      <c r="H137" s="377">
        <f t="shared" si="45"/>
        <v>9650745.3615741916</v>
      </c>
      <c r="I137" s="377">
        <f t="shared" si="45"/>
        <v>58456445.126815833</v>
      </c>
      <c r="J137" s="377">
        <f t="shared" si="45"/>
        <v>59517920.409219883</v>
      </c>
      <c r="K137" s="377">
        <f t="shared" si="45"/>
        <v>107380140.48639834</v>
      </c>
      <c r="L137" s="377">
        <f t="shared" si="45"/>
        <v>108958859.19663353</v>
      </c>
      <c r="M137" s="377">
        <f t="shared" si="45"/>
        <v>110573348.91765967</v>
      </c>
      <c r="N137" s="377">
        <f t="shared" si="45"/>
        <v>112224495.36132082</v>
      </c>
      <c r="O137" s="377">
        <f t="shared" si="45"/>
        <v>113913235.7803373</v>
      </c>
      <c r="P137" s="377">
        <f t="shared" si="45"/>
        <v>115754695.12899102</v>
      </c>
      <c r="Q137" s="377">
        <f t="shared" si="45"/>
        <v>117598374.89941841</v>
      </c>
    </row>
    <row r="138" spans="1:17" x14ac:dyDescent="0.25">
      <c r="A138" s="942" t="s">
        <v>33</v>
      </c>
      <c r="B138" s="943"/>
      <c r="C138" s="943"/>
      <c r="D138" s="380">
        <f t="shared" ref="D138:Q138" si="46">SUM(D80:D83,D99:D104)</f>
        <v>0</v>
      </c>
      <c r="E138" s="380">
        <f t="shared" si="46"/>
        <v>0</v>
      </c>
      <c r="F138" s="380">
        <f t="shared" si="46"/>
        <v>60114.821673651895</v>
      </c>
      <c r="G138" s="380">
        <f t="shared" si="46"/>
        <v>62327.467914994108</v>
      </c>
      <c r="H138" s="380">
        <f t="shared" si="46"/>
        <v>64621.555026541457</v>
      </c>
      <c r="I138" s="380">
        <f t="shared" si="46"/>
        <v>67000.080602403148</v>
      </c>
      <c r="J138" s="380">
        <f t="shared" si="46"/>
        <v>665271.92480131413</v>
      </c>
      <c r="K138" s="380">
        <f t="shared" si="46"/>
        <v>685310.3706990151</v>
      </c>
      <c r="L138" s="380">
        <f t="shared" si="46"/>
        <v>1043598.3249674139</v>
      </c>
      <c r="M138" s="380">
        <f t="shared" si="46"/>
        <v>1064238.8591852926</v>
      </c>
      <c r="N138" s="380">
        <f t="shared" si="46"/>
        <v>1541754.8987012354</v>
      </c>
      <c r="O138" s="380">
        <f t="shared" si="46"/>
        <v>1568258.6399029219</v>
      </c>
      <c r="P138" s="380">
        <f t="shared" si="46"/>
        <v>1596686.8041193357</v>
      </c>
      <c r="Q138" s="380">
        <f t="shared" si="46"/>
        <v>1625013.5451093346</v>
      </c>
    </row>
    <row r="139" spans="1:17" s="267" customFormat="1" ht="15.75" thickBot="1" x14ac:dyDescent="0.3">
      <c r="A139" s="954" t="s">
        <v>817</v>
      </c>
      <c r="B139" s="954"/>
      <c r="C139" s="954"/>
      <c r="D139" s="631">
        <f t="shared" ref="D139:Q139" si="47">SUM(D105:D107,D108:D110)</f>
        <v>0</v>
      </c>
      <c r="E139" s="631">
        <f t="shared" si="47"/>
        <v>10432190.377142856</v>
      </c>
      <c r="F139" s="631">
        <f t="shared" si="47"/>
        <v>10432190.377142856</v>
      </c>
      <c r="G139" s="631">
        <f t="shared" si="47"/>
        <v>24074285.485714283</v>
      </c>
      <c r="H139" s="631">
        <f t="shared" si="47"/>
        <v>24074285.485714283</v>
      </c>
      <c r="I139" s="631">
        <f t="shared" si="47"/>
        <v>24074285.485714283</v>
      </c>
      <c r="J139" s="631">
        <f t="shared" si="47"/>
        <v>24074285.485714283</v>
      </c>
      <c r="K139" s="631">
        <f t="shared" si="47"/>
        <v>24074285.485714283</v>
      </c>
      <c r="L139" s="631">
        <f t="shared" si="47"/>
        <v>13642095.108571429</v>
      </c>
      <c r="M139" s="631">
        <f t="shared" si="47"/>
        <v>13642095.108571429</v>
      </c>
      <c r="N139" s="631">
        <f t="shared" si="47"/>
        <v>0</v>
      </c>
      <c r="O139" s="631">
        <f t="shared" si="47"/>
        <v>0</v>
      </c>
      <c r="P139" s="631">
        <f t="shared" si="47"/>
        <v>0</v>
      </c>
      <c r="Q139" s="631">
        <f t="shared" si="47"/>
        <v>0</v>
      </c>
    </row>
    <row r="140" spans="1:17" ht="15.75" thickTop="1" x14ac:dyDescent="0.25">
      <c r="A140" s="941" t="s">
        <v>75</v>
      </c>
      <c r="B140" s="941"/>
      <c r="C140" s="941"/>
      <c r="D140" s="381">
        <f t="shared" ref="D140:Q140" si="48">SUM(D137:D138,D139)</f>
        <v>0</v>
      </c>
      <c r="E140" s="381">
        <f t="shared" si="48"/>
        <v>19091117.993329786</v>
      </c>
      <c r="F140" s="381">
        <f t="shared" si="48"/>
        <v>19469035.911901493</v>
      </c>
      <c r="G140" s="381">
        <f t="shared" si="48"/>
        <v>33443806.504579883</v>
      </c>
      <c r="H140" s="381">
        <f t="shared" si="48"/>
        <v>33789652.402315013</v>
      </c>
      <c r="I140" s="381">
        <f t="shared" si="48"/>
        <v>82597730.69313252</v>
      </c>
      <c r="J140" s="381">
        <f t="shared" si="48"/>
        <v>84257477.819735482</v>
      </c>
      <c r="K140" s="381">
        <f t="shared" si="48"/>
        <v>132139736.34281164</v>
      </c>
      <c r="L140" s="381">
        <f t="shared" si="48"/>
        <v>123644552.63017237</v>
      </c>
      <c r="M140" s="381">
        <f t="shared" si="48"/>
        <v>125279682.88541639</v>
      </c>
      <c r="N140" s="381">
        <f t="shared" si="48"/>
        <v>113766250.26002206</v>
      </c>
      <c r="O140" s="381">
        <f t="shared" si="48"/>
        <v>115481494.42024022</v>
      </c>
      <c r="P140" s="381">
        <f t="shared" si="48"/>
        <v>117351381.93311036</v>
      </c>
      <c r="Q140" s="381">
        <f t="shared" si="48"/>
        <v>119223388.44452775</v>
      </c>
    </row>
    <row r="142" spans="1:17" s="21" customFormat="1" ht="30" customHeight="1" x14ac:dyDescent="0.25">
      <c r="A142" s="830" t="s">
        <v>260</v>
      </c>
      <c r="B142" s="830"/>
      <c r="C142" s="830"/>
      <c r="D142" s="182">
        <v>2019</v>
      </c>
      <c r="E142" s="182">
        <v>2020</v>
      </c>
      <c r="F142" s="182">
        <v>2021</v>
      </c>
      <c r="G142" s="182">
        <v>2022</v>
      </c>
      <c r="H142" s="182">
        <v>2023</v>
      </c>
      <c r="I142" s="182">
        <v>2024</v>
      </c>
      <c r="J142" s="182">
        <v>2025</v>
      </c>
      <c r="K142" s="182">
        <v>2026</v>
      </c>
      <c r="L142" s="182">
        <v>2027</v>
      </c>
      <c r="M142" s="182">
        <v>2028</v>
      </c>
      <c r="N142" s="182">
        <v>2029</v>
      </c>
      <c r="O142" s="182">
        <v>2030</v>
      </c>
      <c r="P142" s="181">
        <v>2031</v>
      </c>
      <c r="Q142" s="181">
        <v>2032</v>
      </c>
    </row>
    <row r="143" spans="1:17" x14ac:dyDescent="0.25">
      <c r="A143" s="848" t="s">
        <v>81</v>
      </c>
      <c r="B143" s="848"/>
      <c r="C143" s="848"/>
      <c r="D143" s="377">
        <f t="shared" ref="D143:Q143" si="49">SUM(D76,D78,D80,D82,D84,D86,D88)</f>
        <v>0</v>
      </c>
      <c r="E143" s="377">
        <f t="shared" si="49"/>
        <v>921237.50235713599</v>
      </c>
      <c r="F143" s="377">
        <f t="shared" si="49"/>
        <v>954239.43923545443</v>
      </c>
      <c r="G143" s="377">
        <f t="shared" si="49"/>
        <v>989418.44078448159</v>
      </c>
      <c r="H143" s="377">
        <f t="shared" si="49"/>
        <v>1026817.9029281614</v>
      </c>
      <c r="I143" s="377">
        <f t="shared" si="49"/>
        <v>1066492.8452108107</v>
      </c>
      <c r="J143" s="377">
        <f t="shared" si="49"/>
        <v>1127050.0377554337</v>
      </c>
      <c r="K143" s="377">
        <f t="shared" si="49"/>
        <v>1154572.0579564099</v>
      </c>
      <c r="L143" s="377">
        <f t="shared" si="49"/>
        <v>1184691.4517739022</v>
      </c>
      <c r="M143" s="377">
        <f t="shared" si="49"/>
        <v>1217346.4156913066</v>
      </c>
      <c r="N143" s="377">
        <f t="shared" si="49"/>
        <v>1252502.2688773288</v>
      </c>
      <c r="O143" s="377">
        <f t="shared" si="49"/>
        <v>1290146.5477224842</v>
      </c>
      <c r="P143" s="377">
        <f t="shared" si="49"/>
        <v>1351800.5752441525</v>
      </c>
      <c r="Q143" s="377">
        <f t="shared" si="49"/>
        <v>1416412.1846810572</v>
      </c>
    </row>
    <row r="144" spans="1:17" x14ac:dyDescent="0.25">
      <c r="A144" s="848" t="s">
        <v>14</v>
      </c>
      <c r="B144" s="848"/>
      <c r="C144" s="848"/>
      <c r="D144" s="377">
        <f t="shared" ref="D144:Q144" si="50">SUM(D77,D79,D81,D83,D85,D87,D89)</f>
        <v>0</v>
      </c>
      <c r="E144" s="377">
        <f t="shared" si="50"/>
        <v>7737690.1138297953</v>
      </c>
      <c r="F144" s="377">
        <f t="shared" si="50"/>
        <v>8082606.0955231832</v>
      </c>
      <c r="G144" s="377">
        <f t="shared" si="50"/>
        <v>8380102.5780811179</v>
      </c>
      <c r="H144" s="377">
        <f t="shared" si="50"/>
        <v>8688549.0136725716</v>
      </c>
      <c r="I144" s="377">
        <f t="shared" si="50"/>
        <v>9008348.437218789</v>
      </c>
      <c r="J144" s="377">
        <f t="shared" si="50"/>
        <v>9339918.7181475163</v>
      </c>
      <c r="K144" s="377">
        <f t="shared" si="50"/>
        <v>9683693.1064064</v>
      </c>
      <c r="L144" s="377">
        <f t="shared" si="50"/>
        <v>10040120.798573865</v>
      </c>
      <c r="M144" s="377">
        <f t="shared" si="50"/>
        <v>10409667.524807021</v>
      </c>
      <c r="N144" s="377">
        <f t="shared" si="50"/>
        <v>10792816.157392567</v>
      </c>
      <c r="O144" s="377">
        <f t="shared" si="50"/>
        <v>11190067.341697711</v>
      </c>
      <c r="P144" s="377">
        <f t="shared" si="50"/>
        <v>11601940.150343576</v>
      </c>
      <c r="Q144" s="377">
        <f t="shared" si="50"/>
        <v>12028972.7614573</v>
      </c>
    </row>
    <row r="145" spans="1:17" x14ac:dyDescent="0.25">
      <c r="A145" s="940" t="s">
        <v>822</v>
      </c>
      <c r="B145" s="848"/>
      <c r="C145" s="848"/>
      <c r="D145" s="377">
        <f t="shared" ref="D145:Q145" si="51">SUM(D93,D96,D99,D102)</f>
        <v>0</v>
      </c>
      <c r="E145" s="377">
        <f t="shared" si="51"/>
        <v>0</v>
      </c>
      <c r="F145" s="377">
        <f t="shared" si="51"/>
        <v>0</v>
      </c>
      <c r="G145" s="377">
        <f t="shared" si="51"/>
        <v>0</v>
      </c>
      <c r="H145" s="377">
        <f t="shared" si="51"/>
        <v>0</v>
      </c>
      <c r="I145" s="377">
        <f t="shared" si="51"/>
        <v>13401700.763020668</v>
      </c>
      <c r="J145" s="377">
        <f t="shared" si="51"/>
        <v>14390413.893514205</v>
      </c>
      <c r="K145" s="377">
        <f t="shared" si="51"/>
        <v>14812644.671335636</v>
      </c>
      <c r="L145" s="377">
        <f t="shared" si="51"/>
        <v>15149416.475418122</v>
      </c>
      <c r="M145" s="377">
        <f t="shared" si="51"/>
        <v>15493881.383793654</v>
      </c>
      <c r="N145" s="377">
        <f t="shared" si="51"/>
        <v>15846215.943813706</v>
      </c>
      <c r="O145" s="377">
        <f t="shared" si="51"/>
        <v>16206600.772353783</v>
      </c>
      <c r="P145" s="377">
        <f t="shared" si="51"/>
        <v>16589706.569861759</v>
      </c>
      <c r="Q145" s="377">
        <f t="shared" si="51"/>
        <v>16970809.838502068</v>
      </c>
    </row>
    <row r="146" spans="1:17" ht="15.75" thickBot="1" x14ac:dyDescent="0.3">
      <c r="A146" s="900" t="s">
        <v>105</v>
      </c>
      <c r="B146" s="900"/>
      <c r="C146" s="900"/>
      <c r="D146" s="378">
        <f t="shared" ref="D146:Q146" si="52">SUM(D94:D95,D97:D98,D100:D101,D103:D104)+SUM(D105:D107,D108:D110)</f>
        <v>0</v>
      </c>
      <c r="E146" s="378">
        <f t="shared" si="52"/>
        <v>10432190.377142856</v>
      </c>
      <c r="F146" s="378">
        <f t="shared" si="52"/>
        <v>10432190.377142856</v>
      </c>
      <c r="G146" s="378">
        <f t="shared" si="52"/>
        <v>24074285.485714283</v>
      </c>
      <c r="H146" s="378">
        <f t="shared" si="52"/>
        <v>24074285.485714283</v>
      </c>
      <c r="I146" s="378">
        <f t="shared" si="52"/>
        <v>59121188.64768225</v>
      </c>
      <c r="J146" s="378">
        <f t="shared" si="52"/>
        <v>59400095.170318335</v>
      </c>
      <c r="K146" s="378">
        <f t="shared" si="52"/>
        <v>106488826.50711319</v>
      </c>
      <c r="L146" s="378">
        <f t="shared" si="52"/>
        <v>97270323.904406488</v>
      </c>
      <c r="M146" s="378">
        <f t="shared" si="52"/>
        <v>98158787.561124414</v>
      </c>
      <c r="N146" s="378">
        <f t="shared" si="52"/>
        <v>85874715.889938459</v>
      </c>
      <c r="O146" s="378">
        <f t="shared" si="52"/>
        <v>86794679.758466244</v>
      </c>
      <c r="P146" s="378">
        <f t="shared" si="52"/>
        <v>87807934.637660861</v>
      </c>
      <c r="Q146" s="378">
        <f t="shared" si="52"/>
        <v>88807193.659887329</v>
      </c>
    </row>
    <row r="147" spans="1:17" ht="15.75" thickTop="1" x14ac:dyDescent="0.25">
      <c r="A147" s="888" t="s">
        <v>75</v>
      </c>
      <c r="B147" s="888"/>
      <c r="C147" s="888"/>
      <c r="D147" s="379">
        <f>SUM(D143:D146)</f>
        <v>0</v>
      </c>
      <c r="E147" s="379">
        <f t="shared" ref="E147:Q147" si="53">SUM(E143:E146)</f>
        <v>19091117.993329786</v>
      </c>
      <c r="F147" s="379">
        <f t="shared" si="53"/>
        <v>19469035.911901496</v>
      </c>
      <c r="G147" s="379">
        <f t="shared" si="53"/>
        <v>33443806.504579883</v>
      </c>
      <c r="H147" s="379">
        <f t="shared" si="53"/>
        <v>33789652.402315021</v>
      </c>
      <c r="I147" s="379">
        <f t="shared" si="53"/>
        <v>82597730.69313252</v>
      </c>
      <c r="J147" s="379">
        <f t="shared" si="53"/>
        <v>84257477.819735497</v>
      </c>
      <c r="K147" s="379">
        <f t="shared" si="53"/>
        <v>132139736.34281164</v>
      </c>
      <c r="L147" s="379">
        <f t="shared" si="53"/>
        <v>123644552.63017237</v>
      </c>
      <c r="M147" s="379">
        <f t="shared" si="53"/>
        <v>125279682.88541639</v>
      </c>
      <c r="N147" s="379">
        <f t="shared" si="53"/>
        <v>113766250.26002206</v>
      </c>
      <c r="O147" s="379">
        <f t="shared" si="53"/>
        <v>115481494.42024022</v>
      </c>
      <c r="P147" s="379">
        <f t="shared" si="53"/>
        <v>117351381.93311036</v>
      </c>
      <c r="Q147" s="379">
        <f t="shared" si="53"/>
        <v>119223388.44452775</v>
      </c>
    </row>
    <row r="149" spans="1:17" s="21" customFormat="1" ht="30" customHeight="1" x14ac:dyDescent="0.25">
      <c r="A149" s="830" t="s">
        <v>42</v>
      </c>
      <c r="B149" s="830"/>
      <c r="C149" s="830"/>
      <c r="D149" s="182">
        <v>2019</v>
      </c>
      <c r="E149" s="182">
        <v>2020</v>
      </c>
      <c r="F149" s="182">
        <v>2021</v>
      </c>
      <c r="G149" s="182">
        <v>2022</v>
      </c>
      <c r="H149" s="182">
        <v>2023</v>
      </c>
      <c r="I149" s="182">
        <v>2024</v>
      </c>
      <c r="J149" s="182">
        <v>2025</v>
      </c>
      <c r="K149" s="182">
        <v>2026</v>
      </c>
      <c r="L149" s="182">
        <v>2027</v>
      </c>
      <c r="M149" s="182">
        <v>2028</v>
      </c>
      <c r="N149" s="182">
        <v>2029</v>
      </c>
      <c r="O149" s="182">
        <v>2030</v>
      </c>
      <c r="P149" s="181">
        <v>2031</v>
      </c>
      <c r="Q149" s="181">
        <v>2032</v>
      </c>
    </row>
    <row r="150" spans="1:17" x14ac:dyDescent="0.25">
      <c r="A150" s="848" t="s">
        <v>259</v>
      </c>
      <c r="B150" s="848"/>
      <c r="C150" s="848"/>
      <c r="D150" s="377">
        <f t="shared" ref="D150:Q150" si="54">SUM(D76:D79,D84:D89)</f>
        <v>0</v>
      </c>
      <c r="E150" s="377">
        <f t="shared" si="54"/>
        <v>8658927.6161869317</v>
      </c>
      <c r="F150" s="377">
        <f t="shared" si="54"/>
        <v>8976730.7130849846</v>
      </c>
      <c r="G150" s="377">
        <f t="shared" si="54"/>
        <v>9307193.5509506054</v>
      </c>
      <c r="H150" s="377">
        <f t="shared" si="54"/>
        <v>9650745.3615741916</v>
      </c>
      <c r="I150" s="377">
        <f t="shared" si="54"/>
        <v>10007841.201827196</v>
      </c>
      <c r="J150" s="377">
        <f t="shared" si="54"/>
        <v>10397502.603333814</v>
      </c>
      <c r="K150" s="377">
        <f t="shared" si="54"/>
        <v>10766242.171116062</v>
      </c>
      <c r="L150" s="377">
        <f t="shared" si="54"/>
        <v>11150138.306788586</v>
      </c>
      <c r="M150" s="377">
        <f t="shared" si="54"/>
        <v>11549591.473098563</v>
      </c>
      <c r="N150" s="377">
        <f t="shared" si="54"/>
        <v>11965046.27011255</v>
      </c>
      <c r="O150" s="377">
        <f t="shared" si="54"/>
        <v>12396987.156011166</v>
      </c>
      <c r="P150" s="377">
        <f t="shared" si="54"/>
        <v>12867450.665802112</v>
      </c>
      <c r="Q150" s="377">
        <f t="shared" si="54"/>
        <v>13355918.808122212</v>
      </c>
    </row>
    <row r="151" spans="1:17" ht="15.75" thickBot="1" x14ac:dyDescent="0.3">
      <c r="A151" s="848" t="s">
        <v>33</v>
      </c>
      <c r="B151" s="848"/>
      <c r="C151" s="848"/>
      <c r="D151" s="377">
        <f t="shared" ref="D151:Q151" si="55">SUM(D80:D83)</f>
        <v>0</v>
      </c>
      <c r="E151" s="377">
        <f t="shared" si="55"/>
        <v>0</v>
      </c>
      <c r="F151" s="377">
        <f t="shared" si="55"/>
        <v>60114.821673651895</v>
      </c>
      <c r="G151" s="377">
        <f t="shared" si="55"/>
        <v>62327.467914994108</v>
      </c>
      <c r="H151" s="377">
        <f t="shared" si="55"/>
        <v>64621.555026541457</v>
      </c>
      <c r="I151" s="377">
        <f t="shared" si="55"/>
        <v>67000.080602403148</v>
      </c>
      <c r="J151" s="377">
        <f t="shared" si="55"/>
        <v>69466.152569135913</v>
      </c>
      <c r="K151" s="377">
        <f t="shared" si="55"/>
        <v>72022.993246748316</v>
      </c>
      <c r="L151" s="377">
        <f t="shared" si="55"/>
        <v>74673.943559181105</v>
      </c>
      <c r="M151" s="377">
        <f t="shared" si="55"/>
        <v>77422.467399764253</v>
      </c>
      <c r="N151" s="377">
        <f t="shared" si="55"/>
        <v>80272.156157347184</v>
      </c>
      <c r="O151" s="377">
        <f t="shared" si="55"/>
        <v>83226.733409030625</v>
      </c>
      <c r="P151" s="377">
        <f t="shared" si="55"/>
        <v>86290.059785616788</v>
      </c>
      <c r="Q151" s="377">
        <f t="shared" si="55"/>
        <v>89466.1380161462</v>
      </c>
    </row>
    <row r="152" spans="1:17" ht="15.75" thickTop="1" x14ac:dyDescent="0.25">
      <c r="A152" s="941" t="s">
        <v>75</v>
      </c>
      <c r="B152" s="941"/>
      <c r="C152" s="941"/>
      <c r="D152" s="381">
        <f>SUM(D150:D151)</f>
        <v>0</v>
      </c>
      <c r="E152" s="381">
        <f t="shared" ref="E152:Q152" si="56">SUM(E150:E151)</f>
        <v>8658927.6161869317</v>
      </c>
      <c r="F152" s="381">
        <f t="shared" si="56"/>
        <v>9036845.5347586367</v>
      </c>
      <c r="G152" s="381">
        <f t="shared" si="56"/>
        <v>9369521.0188656002</v>
      </c>
      <c r="H152" s="381">
        <f t="shared" si="56"/>
        <v>9715366.9166007321</v>
      </c>
      <c r="I152" s="381">
        <f t="shared" si="56"/>
        <v>10074841.2824296</v>
      </c>
      <c r="J152" s="381">
        <f t="shared" si="56"/>
        <v>10466968.75590295</v>
      </c>
      <c r="K152" s="381">
        <f t="shared" si="56"/>
        <v>10838265.164362811</v>
      </c>
      <c r="L152" s="381">
        <f t="shared" si="56"/>
        <v>11224812.250347767</v>
      </c>
      <c r="M152" s="381">
        <f t="shared" si="56"/>
        <v>11627013.940498328</v>
      </c>
      <c r="N152" s="381">
        <f t="shared" si="56"/>
        <v>12045318.426269896</v>
      </c>
      <c r="O152" s="381">
        <f t="shared" si="56"/>
        <v>12480213.889420196</v>
      </c>
      <c r="P152" s="381">
        <f t="shared" si="56"/>
        <v>12953740.725587729</v>
      </c>
      <c r="Q152" s="381">
        <f t="shared" si="56"/>
        <v>13445384.946138358</v>
      </c>
    </row>
    <row r="153" spans="1:17" x14ac:dyDescent="0.25">
      <c r="Q153" s="250"/>
    </row>
  </sheetData>
  <sheetProtection algorithmName="SHA-512" hashValue="EzWCcXn/vIOMJlwh18+X1FCbJ5Rrbv6QeR9Fq27c3i552hy8fM3mjA74y9PpO48H6roRnkaceH3D8QwvOeqSmw==" saltValue="nc5EEuyBdz9gJvn2bp7fXA==" spinCount="100000" sheet="1" objects="1" scenarios="1"/>
  <mergeCells count="91">
    <mergeCell ref="A151:C151"/>
    <mergeCell ref="B17:E17"/>
    <mergeCell ref="A139:C139"/>
    <mergeCell ref="C105:C107"/>
    <mergeCell ref="C108:C110"/>
    <mergeCell ref="B105:B107"/>
    <mergeCell ref="B108:B110"/>
    <mergeCell ref="B102:B104"/>
    <mergeCell ref="B69:C69"/>
    <mergeCell ref="B70:C70"/>
    <mergeCell ref="B71:C71"/>
    <mergeCell ref="B72:C72"/>
    <mergeCell ref="B96:B98"/>
    <mergeCell ref="B68:C68"/>
    <mergeCell ref="A76:A77"/>
    <mergeCell ref="A78:A79"/>
    <mergeCell ref="I6:M6"/>
    <mergeCell ref="L7:M7"/>
    <mergeCell ref="L8:M8"/>
    <mergeCell ref="L9:M9"/>
    <mergeCell ref="L10:M10"/>
    <mergeCell ref="A17:A18"/>
    <mergeCell ref="B18:C18"/>
    <mergeCell ref="B15:C15"/>
    <mergeCell ref="B2:D2"/>
    <mergeCell ref="B1:D1"/>
    <mergeCell ref="B3:D3"/>
    <mergeCell ref="B6:C6"/>
    <mergeCell ref="B7:C7"/>
    <mergeCell ref="B8:C8"/>
    <mergeCell ref="B9:C9"/>
    <mergeCell ref="B14:C14"/>
    <mergeCell ref="B10:C10"/>
    <mergeCell ref="B12:C12"/>
    <mergeCell ref="B13:C13"/>
    <mergeCell ref="B11:C11"/>
    <mergeCell ref="D18:E18"/>
    <mergeCell ref="A152:C152"/>
    <mergeCell ref="A136:C136"/>
    <mergeCell ref="A86:A87"/>
    <mergeCell ref="B86:B87"/>
    <mergeCell ref="A84:A85"/>
    <mergeCell ref="B84:B85"/>
    <mergeCell ref="A137:C137"/>
    <mergeCell ref="A138:C138"/>
    <mergeCell ref="A140:C140"/>
    <mergeCell ref="A142:C142"/>
    <mergeCell ref="A132:C132"/>
    <mergeCell ref="A133:C133"/>
    <mergeCell ref="A147:C147"/>
    <mergeCell ref="A149:C149"/>
    <mergeCell ref="A150:C150"/>
    <mergeCell ref="B93:B95"/>
    <mergeCell ref="A144:C144"/>
    <mergeCell ref="A145:C145"/>
    <mergeCell ref="A146:C146"/>
    <mergeCell ref="A125:C125"/>
    <mergeCell ref="A126:C126"/>
    <mergeCell ref="A127:C127"/>
    <mergeCell ref="A128:C128"/>
    <mergeCell ref="A131:C131"/>
    <mergeCell ref="A130:C130"/>
    <mergeCell ref="L17:O17"/>
    <mergeCell ref="A143:C143"/>
    <mergeCell ref="A102:A104"/>
    <mergeCell ref="A93:A95"/>
    <mergeCell ref="B99:B101"/>
    <mergeCell ref="A80:A81"/>
    <mergeCell ref="A82:A83"/>
    <mergeCell ref="B80:B81"/>
    <mergeCell ref="B82:B83"/>
    <mergeCell ref="A96:A98"/>
    <mergeCell ref="A99:A101"/>
    <mergeCell ref="A88:A89"/>
    <mergeCell ref="B88:B89"/>
    <mergeCell ref="B76:B77"/>
    <mergeCell ref="B78:B79"/>
    <mergeCell ref="I17:K18"/>
    <mergeCell ref="I19:K19"/>
    <mergeCell ref="I20:K20"/>
    <mergeCell ref="I21:K21"/>
    <mergeCell ref="N18:O18"/>
    <mergeCell ref="L18:M18"/>
    <mergeCell ref="I27:K27"/>
    <mergeCell ref="I28:K28"/>
    <mergeCell ref="I29:K29"/>
    <mergeCell ref="I22:K22"/>
    <mergeCell ref="I23:K23"/>
    <mergeCell ref="I24:K24"/>
    <mergeCell ref="I25:K25"/>
    <mergeCell ref="I26:K26"/>
  </mergeCells>
  <pageMargins left="0.7" right="0.7" top="0.75" bottom="0.75" header="0.3" footer="0.3"/>
  <pageSetup paperSize="5" pageOrder="overThenDown" orientation="landscape" r:id="rId1"/>
  <rowBreaks count="6" manualBreakCount="6">
    <brk id="16" max="16383" man="1"/>
    <brk id="41" max="16383" man="1"/>
    <brk id="67" max="16383" man="1"/>
    <brk id="91" max="16383" man="1"/>
    <brk id="111" max="16383" man="1"/>
    <brk id="135" max="1638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theme="9" tint="0.59999389629810485"/>
  </sheetPr>
  <dimension ref="A1:P70"/>
  <sheetViews>
    <sheetView zoomScaleNormal="100" zoomScaleSheetLayoutView="80" workbookViewId="0">
      <selection activeCell="D16" sqref="D16:E16"/>
    </sheetView>
  </sheetViews>
  <sheetFormatPr defaultColWidth="9.140625" defaultRowHeight="15" x14ac:dyDescent="0.25"/>
  <cols>
    <col min="1" max="1" width="46" style="1" customWidth="1"/>
    <col min="2" max="2" width="18.28515625" style="1" bestFit="1" customWidth="1"/>
    <col min="3" max="7" width="12.42578125" style="1" customWidth="1"/>
    <col min="8" max="8" width="16.5703125" style="1" bestFit="1" customWidth="1"/>
    <col min="9" max="9" width="16.140625" style="1" bestFit="1" customWidth="1"/>
    <col min="10" max="16" width="13.7109375" style="1" customWidth="1"/>
    <col min="17" max="16384" width="9.140625" style="1"/>
  </cols>
  <sheetData>
    <row r="1" spans="1:6" ht="18.75" x14ac:dyDescent="0.3">
      <c r="A1" s="2" t="s">
        <v>39</v>
      </c>
      <c r="B1" s="754" t="s">
        <v>386</v>
      </c>
      <c r="C1" s="754"/>
      <c r="D1" s="754"/>
    </row>
    <row r="2" spans="1:6" x14ac:dyDescent="0.25">
      <c r="B2" s="818" t="s">
        <v>379</v>
      </c>
      <c r="C2" s="818"/>
      <c r="D2" s="818"/>
    </row>
    <row r="3" spans="1:6" x14ac:dyDescent="0.25">
      <c r="B3" s="815" t="s">
        <v>375</v>
      </c>
      <c r="C3" s="816"/>
      <c r="D3" s="817"/>
    </row>
    <row r="5" spans="1:6" ht="15.75" x14ac:dyDescent="0.25">
      <c r="A5" s="15" t="s">
        <v>262</v>
      </c>
    </row>
    <row r="6" spans="1:6" x14ac:dyDescent="0.25">
      <c r="A6" s="961" t="s">
        <v>24</v>
      </c>
      <c r="B6" s="961"/>
      <c r="C6" s="961" t="s">
        <v>15</v>
      </c>
      <c r="D6" s="961"/>
      <c r="E6" s="961"/>
      <c r="F6" s="474" t="s">
        <v>25</v>
      </c>
    </row>
    <row r="7" spans="1:6" s="253" customFormat="1" x14ac:dyDescent="0.25">
      <c r="A7" s="962" t="s">
        <v>486</v>
      </c>
      <c r="B7" s="962"/>
      <c r="C7" s="968" t="str">
        <f>'Cost Inputs'!B121</f>
        <v>Cost per vessel upgrade ($)</v>
      </c>
      <c r="D7" s="968"/>
      <c r="E7" s="968"/>
      <c r="F7" s="255">
        <f>'Cost Inputs'!D121</f>
        <v>878540.58000000007</v>
      </c>
    </row>
    <row r="8" spans="1:6" s="253" customFormat="1" x14ac:dyDescent="0.25">
      <c r="A8" s="962" t="s">
        <v>487</v>
      </c>
      <c r="B8" s="962"/>
      <c r="C8" s="968" t="str">
        <f>'Cost Inputs'!B122</f>
        <v>Cost per vessel upgrade ($)</v>
      </c>
      <c r="D8" s="968"/>
      <c r="E8" s="968"/>
      <c r="F8" s="255">
        <f>'Cost Inputs'!D122</f>
        <v>1629682.0200000003</v>
      </c>
    </row>
    <row r="9" spans="1:6" s="253" customFormat="1" x14ac:dyDescent="0.25">
      <c r="A9" s="963" t="s">
        <v>850</v>
      </c>
      <c r="B9" s="962"/>
      <c r="C9" s="968" t="str">
        <f>'Cost Inputs'!B123</f>
        <v>Cost per vessel upgrade ($)</v>
      </c>
      <c r="D9" s="968"/>
      <c r="E9" s="968"/>
      <c r="F9" s="255">
        <f>'Cost Inputs'!D123</f>
        <v>3163500.0000000005</v>
      </c>
    </row>
    <row r="10" spans="1:6" s="253" customFormat="1" x14ac:dyDescent="0.25">
      <c r="A10" s="962" t="s">
        <v>488</v>
      </c>
      <c r="B10" s="962"/>
      <c r="C10" s="968" t="str">
        <f>'Cost Inputs'!B124</f>
        <v>Cost per vessel upgrade ($)</v>
      </c>
      <c r="D10" s="968"/>
      <c r="E10" s="968"/>
      <c r="F10" s="255">
        <f>'Cost Inputs'!D124</f>
        <v>2504468.58</v>
      </c>
    </row>
    <row r="11" spans="1:6" s="253" customFormat="1" x14ac:dyDescent="0.25">
      <c r="A11" s="962" t="s">
        <v>28</v>
      </c>
      <c r="B11" s="962"/>
      <c r="C11" s="968" t="str">
        <f>'Cost Inputs'!B135</f>
        <v>fraction</v>
      </c>
      <c r="D11" s="968"/>
      <c r="E11" s="968"/>
      <c r="F11" s="254">
        <f>'Cost Inputs'!D135</f>
        <v>0.1295</v>
      </c>
    </row>
    <row r="12" spans="1:6" s="253" customFormat="1" x14ac:dyDescent="0.25">
      <c r="A12" s="962" t="s">
        <v>457</v>
      </c>
      <c r="B12" s="962"/>
      <c r="C12" s="968" t="str">
        <f>'Cost Inputs'!B129</f>
        <v>Annual Cost per vessel upgrade ($)</v>
      </c>
      <c r="D12" s="968"/>
      <c r="E12" s="968"/>
      <c r="F12" s="255">
        <f>'Cost Inputs'!D129</f>
        <v>10000</v>
      </c>
    </row>
    <row r="14" spans="1:6" ht="60" customHeight="1" x14ac:dyDescent="0.25">
      <c r="A14" s="41" t="s">
        <v>77</v>
      </c>
      <c r="B14" s="227" t="s">
        <v>900</v>
      </c>
      <c r="C14" s="227" t="s">
        <v>263</v>
      </c>
      <c r="D14" s="969" t="s">
        <v>192</v>
      </c>
      <c r="E14" s="936"/>
    </row>
    <row r="15" spans="1:6" x14ac:dyDescent="0.25">
      <c r="A15" s="10" t="s">
        <v>81</v>
      </c>
      <c r="B15" s="82">
        <f>'Berths, Terminals, Vessels'!B8</f>
        <v>57</v>
      </c>
      <c r="C15" s="82">
        <f>'Berths, Terminals, Vessels'!B9</f>
        <v>62</v>
      </c>
      <c r="D15" s="966">
        <f>'Berths, Terminals, Vessels'!F8</f>
        <v>2020</v>
      </c>
      <c r="E15" s="967"/>
    </row>
    <row r="16" spans="1:6" x14ac:dyDescent="0.25">
      <c r="A16" s="10" t="s">
        <v>14</v>
      </c>
      <c r="B16" s="82">
        <f>'Berths, Terminals, Vessels'!B37</f>
        <v>26</v>
      </c>
      <c r="C16" s="82">
        <f>B16</f>
        <v>26</v>
      </c>
      <c r="D16" s="966">
        <f>'Berths, Terminals, Vessels'!F37</f>
        <v>2020</v>
      </c>
      <c r="E16" s="967"/>
    </row>
    <row r="17" spans="1:16" x14ac:dyDescent="0.25">
      <c r="A17" s="649" t="s">
        <v>822</v>
      </c>
      <c r="B17" s="82">
        <f>'Berths, Terminals, Vessels'!H51</f>
        <v>0</v>
      </c>
      <c r="C17" s="82">
        <f>'Berths, Terminals, Vessels'!H53</f>
        <v>261</v>
      </c>
      <c r="D17" s="966">
        <f>'Berths, Terminals, Vessels'!H54</f>
        <v>2024</v>
      </c>
      <c r="E17" s="967"/>
    </row>
    <row r="18" spans="1:16" x14ac:dyDescent="0.25">
      <c r="A18" s="10" t="s">
        <v>105</v>
      </c>
      <c r="B18" s="82">
        <f>'Berths, Terminals, Vessels'!H71</f>
        <v>0</v>
      </c>
      <c r="C18" s="82">
        <f>'Berths, Terminals, Vessels'!H73</f>
        <v>414</v>
      </c>
      <c r="D18" s="966">
        <f>'Berths, Terminals, Vessels'!H74</f>
        <v>2026</v>
      </c>
      <c r="E18" s="967"/>
    </row>
    <row r="20" spans="1:16" s="21" customFormat="1" x14ac:dyDescent="0.25">
      <c r="A20" s="41" t="s">
        <v>236</v>
      </c>
      <c r="B20" s="251" t="s">
        <v>112</v>
      </c>
      <c r="C20" s="229">
        <v>2019</v>
      </c>
      <c r="D20" s="229">
        <v>2020</v>
      </c>
      <c r="E20" s="229">
        <v>2021</v>
      </c>
      <c r="F20" s="229">
        <v>2022</v>
      </c>
      <c r="G20" s="229">
        <v>2023</v>
      </c>
      <c r="H20" s="229">
        <v>2024</v>
      </c>
      <c r="I20" s="229">
        <v>2025</v>
      </c>
      <c r="J20" s="229">
        <v>2026</v>
      </c>
      <c r="K20" s="229">
        <v>2027</v>
      </c>
      <c r="L20" s="229">
        <v>2028</v>
      </c>
      <c r="M20" s="229">
        <v>2029</v>
      </c>
      <c r="N20" s="229">
        <v>2030</v>
      </c>
      <c r="O20" s="229">
        <v>2031</v>
      </c>
      <c r="P20" s="229">
        <v>2032</v>
      </c>
    </row>
    <row r="21" spans="1:16" x14ac:dyDescent="0.25">
      <c r="A21" s="10" t="s">
        <v>232</v>
      </c>
      <c r="B21" s="31" t="s">
        <v>27</v>
      </c>
      <c r="C21" s="222">
        <f>Growth!$F7</f>
        <v>3.8665099247932266E-2</v>
      </c>
      <c r="D21" s="222">
        <f>Growth!$F8</f>
        <v>7.9641297146510415E-2</v>
      </c>
      <c r="E21" s="222">
        <f>Growth!$F9</f>
        <v>0.15256235056907913</v>
      </c>
      <c r="F21" s="222">
        <f>Growth!$F10</f>
        <v>0.19385114943417511</v>
      </c>
      <c r="G21" s="222">
        <f>Growth!$F11</f>
        <v>0.23786367889837565</v>
      </c>
      <c r="H21" s="222">
        <f>Growth!$F12</f>
        <v>0.28465423170158566</v>
      </c>
      <c r="I21" s="222">
        <f>Growth!$F13</f>
        <v>0.33429164292179847</v>
      </c>
      <c r="J21" s="222">
        <f>Growth!$F14</f>
        <v>0.41005488530447487</v>
      </c>
      <c r="K21" s="222">
        <f>Growth!$F15</f>
        <v>0.44448774785521072</v>
      </c>
      <c r="L21" s="222">
        <f>Growth!$F16</f>
        <v>0.48217019049045101</v>
      </c>
      <c r="M21" s="222">
        <f>Growth!$F17</f>
        <v>0.5230248906889251</v>
      </c>
      <c r="N21" s="222">
        <f>Growth!$F18</f>
        <v>0.56700845918311726</v>
      </c>
      <c r="O21" s="222">
        <f>Growth!$F19</f>
        <v>0.61410530272263486</v>
      </c>
      <c r="P21" s="222">
        <f>Growth!$F20</f>
        <v>0.69124079785891168</v>
      </c>
    </row>
    <row r="22" spans="1:16" x14ac:dyDescent="0.25">
      <c r="A22" s="10" t="s">
        <v>233</v>
      </c>
      <c r="B22" s="31" t="s">
        <v>27</v>
      </c>
      <c r="C22" s="222">
        <f>Growth!$G7</f>
        <v>3.680699999999959E-2</v>
      </c>
      <c r="D22" s="222">
        <f>Growth!$G8</f>
        <v>7.4968755249000291E-2</v>
      </c>
      <c r="E22" s="222">
        <f>Growth!$G9</f>
        <v>0.15961450248024708</v>
      </c>
      <c r="F22" s="222">
        <f>Growth!$G10</f>
        <v>0.20229643347303783</v>
      </c>
      <c r="G22" s="222">
        <f>Growth!$G11</f>
        <v>0.24654935829988212</v>
      </c>
      <c r="H22" s="222">
        <f>Growth!$G12</f>
        <v>0.29243110053082899</v>
      </c>
      <c r="I22" s="222">
        <f>Growth!$G13</f>
        <v>0.34000161204806295</v>
      </c>
      <c r="J22" s="222">
        <f>Growth!$G14</f>
        <v>0.38932305138271844</v>
      </c>
      <c r="K22" s="222">
        <f>Growth!$G15</f>
        <v>0.44045986493496619</v>
      </c>
      <c r="L22" s="222">
        <f>Growth!$G16</f>
        <v>0.4934788711836221</v>
      </c>
      <c r="M22" s="222">
        <f>Growth!$G17</f>
        <v>0.548449347995285</v>
      </c>
      <c r="N22" s="222">
        <f>Growth!$G18</f>
        <v>0.60544312314694371</v>
      </c>
      <c r="O22" s="222">
        <f>Growth!$G19</f>
        <v>0.66453466818061258</v>
      </c>
      <c r="P22" s="222">
        <f>Growth!$G20</f>
        <v>0.7258011957123357</v>
      </c>
    </row>
    <row r="23" spans="1:16" x14ac:dyDescent="0.25">
      <c r="A23" s="649" t="s">
        <v>847</v>
      </c>
      <c r="B23" s="31" t="s">
        <v>27</v>
      </c>
      <c r="C23" s="222">
        <f>Growth!$H7</f>
        <v>3.6721349367557554E-2</v>
      </c>
      <c r="D23" s="222">
        <f>Growth!$H8</f>
        <v>7.4987179834447554E-2</v>
      </c>
      <c r="E23" s="222">
        <f>Growth!$H9</f>
        <v>0.11487071873903137</v>
      </c>
      <c r="F23" s="222">
        <f>Growth!$H10</f>
        <v>0.15102739754508301</v>
      </c>
      <c r="G23" s="222">
        <f>Growth!$H11</f>
        <v>0.18440519556548982</v>
      </c>
      <c r="H23" s="222">
        <f>Growth!$H12</f>
        <v>0.21887580559911993</v>
      </c>
      <c r="I23" s="222">
        <f>Growth!$H13</f>
        <v>0.2544794366551939</v>
      </c>
      <c r="J23" s="222">
        <f>Growth!$H14</f>
        <v>0.29125791799611689</v>
      </c>
      <c r="K23" s="222">
        <f>Growth!$H15</f>
        <v>0.32914486406438159</v>
      </c>
      <c r="L23" s="222">
        <f>Growth!$H16</f>
        <v>0.35936354031630968</v>
      </c>
      <c r="M23" s="222">
        <f>Growth!$H17</f>
        <v>0.39027252206645779</v>
      </c>
      <c r="N23" s="222">
        <f>Growth!$H18</f>
        <v>0.42188765098325831</v>
      </c>
      <c r="O23" s="222">
        <f>Growth!$H19</f>
        <v>0.45422513389525299</v>
      </c>
      <c r="P23" s="222">
        <f>Growth!$H20</f>
        <v>0.48860137895136968</v>
      </c>
    </row>
    <row r="24" spans="1:16" x14ac:dyDescent="0.25">
      <c r="A24" s="10" t="s">
        <v>234</v>
      </c>
      <c r="B24" s="31" t="s">
        <v>27</v>
      </c>
      <c r="C24" s="222">
        <f>Growth!$I7</f>
        <v>4.8046931054337438E-3</v>
      </c>
      <c r="D24" s="222">
        <f>Growth!$I8</f>
        <v>9.7795845679310989E-3</v>
      </c>
      <c r="E24" s="222">
        <f>Growth!$I9</f>
        <v>1.492791402705583E-2</v>
      </c>
      <c r="F24" s="222">
        <f>Growth!$I10</f>
        <v>2.6628462023319498E-2</v>
      </c>
      <c r="G24" s="222">
        <f>Growth!$I11</f>
        <v>3.4642567685373271E-2</v>
      </c>
      <c r="H24" s="222">
        <f>Growth!$I12</f>
        <v>4.2769630813193044E-2</v>
      </c>
      <c r="I24" s="222">
        <f>Growth!$I13</f>
        <v>5.1013291136714503E-2</v>
      </c>
      <c r="J24" s="222">
        <f>Growth!$I14</f>
        <v>5.9377352889062179E-2</v>
      </c>
      <c r="K24" s="222">
        <f>Growth!$I15</f>
        <v>7.0987745336126756E-2</v>
      </c>
      <c r="L24" s="222">
        <f>Growth!$I16</f>
        <v>8.2319423047410883E-2</v>
      </c>
      <c r="M24" s="222">
        <f>Growth!$I17</f>
        <v>9.3817950353126484E-2</v>
      </c>
      <c r="N24" s="222">
        <f>Growth!$I18</f>
        <v>0.10548686029160387</v>
      </c>
      <c r="O24" s="222">
        <f>Growth!$I19</f>
        <v>0.11732978702575415</v>
      </c>
      <c r="P24" s="222">
        <f>Growth!$I20</f>
        <v>0.13037367245195625</v>
      </c>
    </row>
    <row r="26" spans="1:16" ht="15.75" x14ac:dyDescent="0.25">
      <c r="A26" s="15" t="s">
        <v>261</v>
      </c>
    </row>
    <row r="27" spans="1:16" s="3" customFormat="1" ht="30" x14ac:dyDescent="0.25">
      <c r="A27" s="9" t="s">
        <v>901</v>
      </c>
      <c r="B27" s="9" t="s">
        <v>77</v>
      </c>
      <c r="C27" s="4">
        <v>2019</v>
      </c>
      <c r="D27" s="4">
        <v>2020</v>
      </c>
      <c r="E27" s="4">
        <v>2021</v>
      </c>
      <c r="F27" s="4">
        <v>2022</v>
      </c>
      <c r="G27" s="4">
        <v>2023</v>
      </c>
      <c r="H27" s="4">
        <v>2024</v>
      </c>
      <c r="I27" s="4">
        <v>2025</v>
      </c>
      <c r="J27" s="4">
        <v>2026</v>
      </c>
      <c r="K27" s="4">
        <v>2027</v>
      </c>
      <c r="L27" s="4">
        <v>2028</v>
      </c>
      <c r="M27" s="4">
        <v>2029</v>
      </c>
      <c r="N27" s="4">
        <v>2030</v>
      </c>
      <c r="O27" s="181">
        <v>2031</v>
      </c>
      <c r="P27" s="181">
        <v>2032</v>
      </c>
    </row>
    <row r="28" spans="1:16" x14ac:dyDescent="0.25">
      <c r="A28" s="962" t="s">
        <v>266</v>
      </c>
      <c r="B28" s="49" t="s">
        <v>81</v>
      </c>
      <c r="C28" s="376"/>
      <c r="D28" s="377">
        <f t="shared" ref="D28:P28" si="0">$B$15*$F$7*$F$11*(1+D$21)</f>
        <v>7001416.9054734921</v>
      </c>
      <c r="E28" s="377">
        <f t="shared" si="0"/>
        <v>7474306.0933427354</v>
      </c>
      <c r="F28" s="377">
        <f t="shared" si="0"/>
        <v>7742061.7777027301</v>
      </c>
      <c r="G28" s="377">
        <f t="shared" si="0"/>
        <v>8027480.7114335392</v>
      </c>
      <c r="H28" s="377">
        <f t="shared" si="0"/>
        <v>8330914.9800917422</v>
      </c>
      <c r="I28" s="377">
        <f t="shared" si="0"/>
        <v>8652810.9755299147</v>
      </c>
      <c r="J28" s="377">
        <f t="shared" si="0"/>
        <v>9144131.6089972854</v>
      </c>
      <c r="K28" s="377">
        <f t="shared" si="0"/>
        <v>9367426.907726353</v>
      </c>
      <c r="L28" s="377">
        <f t="shared" si="0"/>
        <v>9611795.5620221905</v>
      </c>
      <c r="M28" s="377">
        <f t="shared" si="0"/>
        <v>9876736.1394099351</v>
      </c>
      <c r="N28" s="377">
        <f t="shared" si="0"/>
        <v>10161967.262776734</v>
      </c>
      <c r="O28" s="377">
        <f t="shared" si="0"/>
        <v>10467387.810715696</v>
      </c>
      <c r="P28" s="377">
        <f t="shared" si="0"/>
        <v>10967607.430960465</v>
      </c>
    </row>
    <row r="29" spans="1:16" x14ac:dyDescent="0.25">
      <c r="A29" s="962"/>
      <c r="B29" s="49" t="s">
        <v>14</v>
      </c>
      <c r="C29" s="376"/>
      <c r="D29" s="377">
        <f t="shared" ref="D29:P29" si="1">$B$16*$F$8*$F$11*(1+D$22)</f>
        <v>5898503.3691374548</v>
      </c>
      <c r="E29" s="377">
        <f t="shared" si="1"/>
        <v>6362966.3805400655</v>
      </c>
      <c r="F29" s="377">
        <f t="shared" si="1"/>
        <v>6597168.084108606</v>
      </c>
      <c r="G29" s="377">
        <f t="shared" si="1"/>
        <v>6839990.0497804023</v>
      </c>
      <c r="H29" s="377">
        <f t="shared" si="1"/>
        <v>7091749.5635426873</v>
      </c>
      <c r="I29" s="377">
        <f t="shared" si="1"/>
        <v>7352775.5897279782</v>
      </c>
      <c r="J29" s="377">
        <f t="shared" si="1"/>
        <v>7623409.2008591099</v>
      </c>
      <c r="K29" s="377">
        <f t="shared" si="1"/>
        <v>7904004.023315154</v>
      </c>
      <c r="L29" s="377">
        <f t="shared" si="1"/>
        <v>8194926.6994012855</v>
      </c>
      <c r="M29" s="377">
        <f t="shared" si="1"/>
        <v>8496557.3664261885</v>
      </c>
      <c r="N29" s="377">
        <f t="shared" si="1"/>
        <v>8809290.1534122154</v>
      </c>
      <c r="O29" s="377">
        <f t="shared" si="1"/>
        <v>9133533.6960888561</v>
      </c>
      <c r="P29" s="377">
        <f t="shared" si="1"/>
        <v>9469711.6708407961</v>
      </c>
    </row>
    <row r="30" spans="1:16" x14ac:dyDescent="0.25">
      <c r="A30" s="962" t="s">
        <v>267</v>
      </c>
      <c r="B30" s="49" t="s">
        <v>81</v>
      </c>
      <c r="C30" s="376"/>
      <c r="D30" s="376"/>
      <c r="E30" s="377">
        <f t="shared" ref="E30:P30" si="2">$B$15*$F12*(1+E$21)</f>
        <v>656960.53982437518</v>
      </c>
      <c r="F30" s="377">
        <f t="shared" si="2"/>
        <v>680495.15517747973</v>
      </c>
      <c r="G30" s="377">
        <f t="shared" si="2"/>
        <v>705582.29697207408</v>
      </c>
      <c r="H30" s="377">
        <f t="shared" si="2"/>
        <v>732252.9120699038</v>
      </c>
      <c r="I30" s="377">
        <f t="shared" si="2"/>
        <v>760546.23646542511</v>
      </c>
      <c r="J30" s="377">
        <f t="shared" si="2"/>
        <v>803731.2846235506</v>
      </c>
      <c r="K30" s="377">
        <f t="shared" si="2"/>
        <v>823358.01627747016</v>
      </c>
      <c r="L30" s="377">
        <f t="shared" si="2"/>
        <v>844837.00857955706</v>
      </c>
      <c r="M30" s="377">
        <f t="shared" si="2"/>
        <v>868124.18769268738</v>
      </c>
      <c r="N30" s="377">
        <f t="shared" si="2"/>
        <v>893194.82173437683</v>
      </c>
      <c r="O30" s="377">
        <f t="shared" si="2"/>
        <v>920040.02255190187</v>
      </c>
      <c r="P30" s="377">
        <f t="shared" si="2"/>
        <v>964007.2547795797</v>
      </c>
    </row>
    <row r="31" spans="1:16" x14ac:dyDescent="0.25">
      <c r="A31" s="962"/>
      <c r="B31" s="49" t="s">
        <v>14</v>
      </c>
      <c r="C31" s="376"/>
      <c r="D31" s="376"/>
      <c r="E31" s="377">
        <f t="shared" ref="E31:P31" si="3">$B$16*$F$12*(1+E$22)</f>
        <v>301499.77064486424</v>
      </c>
      <c r="F31" s="377">
        <f t="shared" si="3"/>
        <v>312597.07270298986</v>
      </c>
      <c r="G31" s="377">
        <f t="shared" si="3"/>
        <v>324102.83315796935</v>
      </c>
      <c r="H31" s="377">
        <f t="shared" si="3"/>
        <v>336032.08613801555</v>
      </c>
      <c r="I31" s="377">
        <f t="shared" si="3"/>
        <v>348400.41913249635</v>
      </c>
      <c r="J31" s="377">
        <f t="shared" si="3"/>
        <v>361223.99335950677</v>
      </c>
      <c r="K31" s="377">
        <f t="shared" si="3"/>
        <v>374519.5648830912</v>
      </c>
      <c r="L31" s="377">
        <f t="shared" si="3"/>
        <v>388304.50650774175</v>
      </c>
      <c r="M31" s="377">
        <f t="shared" si="3"/>
        <v>402596.83047877409</v>
      </c>
      <c r="N31" s="377">
        <f t="shared" si="3"/>
        <v>417415.21201820538</v>
      </c>
      <c r="O31" s="377">
        <f t="shared" si="3"/>
        <v>432779.0137269593</v>
      </c>
      <c r="P31" s="377">
        <f t="shared" si="3"/>
        <v>448708.31088520732</v>
      </c>
    </row>
    <row r="32" spans="1:16" x14ac:dyDescent="0.25">
      <c r="A32" s="125" t="s">
        <v>902</v>
      </c>
      <c r="B32" s="256"/>
      <c r="C32" s="71"/>
      <c r="D32" s="71"/>
      <c r="E32" s="71"/>
      <c r="F32" s="71"/>
      <c r="G32" s="71"/>
      <c r="H32" s="71"/>
      <c r="I32" s="71"/>
      <c r="J32" s="71"/>
      <c r="K32" s="71"/>
      <c r="L32" s="71"/>
      <c r="M32" s="71"/>
      <c r="N32" s="71"/>
      <c r="O32" s="71"/>
      <c r="P32" s="71"/>
    </row>
    <row r="33" spans="1:16" x14ac:dyDescent="0.25">
      <c r="A33" s="14"/>
      <c r="B33" s="14"/>
    </row>
    <row r="34" spans="1:16" s="3" customFormat="1" ht="30" x14ac:dyDescent="0.25">
      <c r="A34" s="9" t="s">
        <v>41</v>
      </c>
      <c r="B34" s="9" t="s">
        <v>77</v>
      </c>
      <c r="C34" s="4">
        <v>2019</v>
      </c>
      <c r="D34" s="4">
        <v>2020</v>
      </c>
      <c r="E34" s="4">
        <v>2021</v>
      </c>
      <c r="F34" s="4">
        <v>2022</v>
      </c>
      <c r="G34" s="4">
        <v>2023</v>
      </c>
      <c r="H34" s="4">
        <v>2024</v>
      </c>
      <c r="I34" s="4">
        <v>2025</v>
      </c>
      <c r="J34" s="4">
        <v>2026</v>
      </c>
      <c r="K34" s="4">
        <v>2027</v>
      </c>
      <c r="L34" s="4">
        <v>2028</v>
      </c>
      <c r="M34" s="4">
        <v>2029</v>
      </c>
      <c r="N34" s="4">
        <v>2030</v>
      </c>
      <c r="O34" s="181">
        <v>2031</v>
      </c>
      <c r="P34" s="181">
        <v>2032</v>
      </c>
    </row>
    <row r="35" spans="1:16" x14ac:dyDescent="0.25">
      <c r="A35" s="964" t="s">
        <v>266</v>
      </c>
      <c r="B35" s="49" t="s">
        <v>81</v>
      </c>
      <c r="C35" s="376"/>
      <c r="D35" s="377">
        <f t="shared" ref="D35:P35" si="4">$C$15*$F$7*$F$11*(1+D$21)</f>
        <v>7615576.2831466058</v>
      </c>
      <c r="E35" s="377">
        <f t="shared" si="4"/>
        <v>8129946.9787236769</v>
      </c>
      <c r="F35" s="377">
        <f t="shared" si="4"/>
        <v>8421190.0038170051</v>
      </c>
      <c r="G35" s="377">
        <f t="shared" si="4"/>
        <v>8731645.6861206926</v>
      </c>
      <c r="H35" s="377">
        <f t="shared" si="4"/>
        <v>9061696.9958892632</v>
      </c>
      <c r="I35" s="377">
        <f t="shared" si="4"/>
        <v>9411829.4821553472</v>
      </c>
      <c r="J35" s="377">
        <f t="shared" si="4"/>
        <v>9946248.4168040659</v>
      </c>
      <c r="K35" s="377">
        <f t="shared" si="4"/>
        <v>10189131.022439191</v>
      </c>
      <c r="L35" s="377">
        <f t="shared" si="4"/>
        <v>10454935.523603085</v>
      </c>
      <c r="M35" s="377">
        <f t="shared" si="4"/>
        <v>10743116.50251607</v>
      </c>
      <c r="N35" s="377">
        <f t="shared" si="4"/>
        <v>11053367.899862412</v>
      </c>
      <c r="O35" s="377">
        <f t="shared" si="4"/>
        <v>11385579.723936372</v>
      </c>
      <c r="P35" s="377">
        <f t="shared" si="4"/>
        <v>11929678.258237699</v>
      </c>
    </row>
    <row r="36" spans="1:16" x14ac:dyDescent="0.25">
      <c r="A36" s="965"/>
      <c r="B36" s="49" t="s">
        <v>14</v>
      </c>
      <c r="C36" s="376"/>
      <c r="D36" s="377">
        <f t="shared" ref="D36:P36" si="5">$C$16*$F$8*$F$11*(1+D$22)</f>
        <v>5898503.3691374548</v>
      </c>
      <c r="E36" s="377">
        <f t="shared" si="5"/>
        <v>6362966.3805400655</v>
      </c>
      <c r="F36" s="377">
        <f t="shared" si="5"/>
        <v>6597168.084108606</v>
      </c>
      <c r="G36" s="377">
        <f t="shared" si="5"/>
        <v>6839990.0497804023</v>
      </c>
      <c r="H36" s="377">
        <f t="shared" si="5"/>
        <v>7091749.5635426873</v>
      </c>
      <c r="I36" s="377">
        <f t="shared" si="5"/>
        <v>7352775.5897279782</v>
      </c>
      <c r="J36" s="377">
        <f t="shared" si="5"/>
        <v>7623409.2008591099</v>
      </c>
      <c r="K36" s="377">
        <f t="shared" si="5"/>
        <v>7904004.023315154</v>
      </c>
      <c r="L36" s="377">
        <f t="shared" si="5"/>
        <v>8194926.6994012855</v>
      </c>
      <c r="M36" s="377">
        <f t="shared" si="5"/>
        <v>8496557.3664261885</v>
      </c>
      <c r="N36" s="377">
        <f t="shared" si="5"/>
        <v>8809290.1534122154</v>
      </c>
      <c r="O36" s="377">
        <f t="shared" si="5"/>
        <v>9133533.6960888561</v>
      </c>
      <c r="P36" s="377">
        <f t="shared" si="5"/>
        <v>9469711.6708407961</v>
      </c>
    </row>
    <row r="37" spans="1:16" x14ac:dyDescent="0.25">
      <c r="A37" s="965"/>
      <c r="B37" s="650" t="s">
        <v>822</v>
      </c>
      <c r="C37" s="376"/>
      <c r="D37" s="376"/>
      <c r="E37" s="376"/>
      <c r="F37" s="376"/>
      <c r="G37" s="376"/>
      <c r="H37" s="377">
        <f t="shared" ref="H37:P37" si="6">$C$17*$F$9*$F$11*(1+H$23)</f>
        <v>130327952.09542769</v>
      </c>
      <c r="I37" s="377">
        <f t="shared" si="6"/>
        <v>134134860.31477535</v>
      </c>
      <c r="J37" s="377">
        <f t="shared" si="6"/>
        <v>138067389.06981641</v>
      </c>
      <c r="K37" s="377">
        <f t="shared" si="6"/>
        <v>142118440.10351858</v>
      </c>
      <c r="L37" s="377">
        <f t="shared" si="6"/>
        <v>145349563.54764393</v>
      </c>
      <c r="M37" s="377">
        <f t="shared" si="6"/>
        <v>148654497.71267292</v>
      </c>
      <c r="N37" s="377">
        <f t="shared" si="6"/>
        <v>152034936.46453926</v>
      </c>
      <c r="O37" s="377">
        <f t="shared" si="6"/>
        <v>155492612.71381846</v>
      </c>
      <c r="P37" s="377">
        <f t="shared" si="6"/>
        <v>159168283.03093672</v>
      </c>
    </row>
    <row r="38" spans="1:16" x14ac:dyDescent="0.25">
      <c r="A38" s="965"/>
      <c r="B38" s="49" t="s">
        <v>105</v>
      </c>
      <c r="C38" s="376"/>
      <c r="D38" s="376"/>
      <c r="E38" s="376"/>
      <c r="F38" s="376"/>
      <c r="G38" s="376"/>
      <c r="H38" s="376"/>
      <c r="I38" s="376"/>
      <c r="J38" s="377">
        <f t="shared" ref="J38:P38" si="7">$C$18*$F$10*$F$11*(1+J$24)</f>
        <v>142244794.29936939</v>
      </c>
      <c r="K38" s="377">
        <f t="shared" si="7"/>
        <v>143803745.77295315</v>
      </c>
      <c r="L38" s="377">
        <f t="shared" si="7"/>
        <v>145325273.64091501</v>
      </c>
      <c r="M38" s="377">
        <f t="shared" si="7"/>
        <v>146869204.74996379</v>
      </c>
      <c r="N38" s="377">
        <f t="shared" si="7"/>
        <v>148436013.48848364</v>
      </c>
      <c r="O38" s="377">
        <f t="shared" si="7"/>
        <v>150026187.82306573</v>
      </c>
      <c r="P38" s="377">
        <f t="shared" si="7"/>
        <v>151777617.37199336</v>
      </c>
    </row>
    <row r="39" spans="1:16" x14ac:dyDescent="0.25">
      <c r="A39" s="962" t="s">
        <v>267</v>
      </c>
      <c r="B39" s="49" t="s">
        <v>81</v>
      </c>
      <c r="C39" s="376"/>
      <c r="D39" s="376"/>
      <c r="E39" s="377">
        <f t="shared" ref="E39:P39" si="8">$C$15*$F$12*(1+E$21)</f>
        <v>714588.65735282912</v>
      </c>
      <c r="F39" s="377">
        <f t="shared" si="8"/>
        <v>740187.71264918847</v>
      </c>
      <c r="G39" s="377">
        <f t="shared" si="8"/>
        <v>767475.48091699288</v>
      </c>
      <c r="H39" s="377">
        <f t="shared" si="8"/>
        <v>796485.62365498312</v>
      </c>
      <c r="I39" s="377">
        <f t="shared" si="8"/>
        <v>827260.81861151499</v>
      </c>
      <c r="J39" s="377">
        <f t="shared" si="8"/>
        <v>874234.02888877434</v>
      </c>
      <c r="K39" s="377">
        <f t="shared" si="8"/>
        <v>895582.40367023065</v>
      </c>
      <c r="L39" s="377">
        <f t="shared" si="8"/>
        <v>918945.51810407965</v>
      </c>
      <c r="M39" s="377">
        <f t="shared" si="8"/>
        <v>944275.43222713366</v>
      </c>
      <c r="N39" s="377">
        <f t="shared" si="8"/>
        <v>971545.2446935327</v>
      </c>
      <c r="O39" s="377">
        <f t="shared" si="8"/>
        <v>1000745.2876880337</v>
      </c>
      <c r="P39" s="377">
        <f t="shared" si="8"/>
        <v>1048569.2946725253</v>
      </c>
    </row>
    <row r="40" spans="1:16" x14ac:dyDescent="0.25">
      <c r="A40" s="962"/>
      <c r="B40" s="49" t="s">
        <v>14</v>
      </c>
      <c r="C40" s="376"/>
      <c r="D40" s="376"/>
      <c r="E40" s="377">
        <f t="shared" ref="E40:P40" si="9">$C$16*$F$12*(1+E$22)</f>
        <v>301499.77064486424</v>
      </c>
      <c r="F40" s="377">
        <f t="shared" si="9"/>
        <v>312597.07270298986</v>
      </c>
      <c r="G40" s="377">
        <f t="shared" si="9"/>
        <v>324102.83315796935</v>
      </c>
      <c r="H40" s="377">
        <f t="shared" si="9"/>
        <v>336032.08613801555</v>
      </c>
      <c r="I40" s="377">
        <f t="shared" si="9"/>
        <v>348400.41913249635</v>
      </c>
      <c r="J40" s="377">
        <f t="shared" si="9"/>
        <v>361223.99335950677</v>
      </c>
      <c r="K40" s="377">
        <f t="shared" si="9"/>
        <v>374519.5648830912</v>
      </c>
      <c r="L40" s="377">
        <f t="shared" si="9"/>
        <v>388304.50650774175</v>
      </c>
      <c r="M40" s="377">
        <f t="shared" si="9"/>
        <v>402596.83047877409</v>
      </c>
      <c r="N40" s="377">
        <f t="shared" si="9"/>
        <v>417415.21201820538</v>
      </c>
      <c r="O40" s="377">
        <f t="shared" si="9"/>
        <v>432779.0137269593</v>
      </c>
      <c r="P40" s="377">
        <f t="shared" si="9"/>
        <v>448708.31088520732</v>
      </c>
    </row>
    <row r="41" spans="1:16" x14ac:dyDescent="0.25">
      <c r="A41" s="962"/>
      <c r="B41" s="650" t="s">
        <v>822</v>
      </c>
      <c r="C41" s="376"/>
      <c r="D41" s="376"/>
      <c r="E41" s="376"/>
      <c r="F41" s="376"/>
      <c r="G41" s="376"/>
      <c r="H41" s="377">
        <f t="shared" ref="H41:P41" si="10">$C$17*$F$12*(1+H$23)</f>
        <v>3181265.8526137033</v>
      </c>
      <c r="I41" s="377">
        <f t="shared" si="10"/>
        <v>3274191.3296700562</v>
      </c>
      <c r="J41" s="377">
        <f t="shared" si="10"/>
        <v>3370183.1659698649</v>
      </c>
      <c r="K41" s="377">
        <f t="shared" si="10"/>
        <v>3469068.0952080362</v>
      </c>
      <c r="L41" s="377">
        <f t="shared" si="10"/>
        <v>3547938.840225568</v>
      </c>
      <c r="M41" s="377">
        <f t="shared" si="10"/>
        <v>3628611.2825934547</v>
      </c>
      <c r="N41" s="377">
        <f t="shared" si="10"/>
        <v>3711126.769066304</v>
      </c>
      <c r="O41" s="377">
        <f t="shared" si="10"/>
        <v>3795527.5994666102</v>
      </c>
      <c r="P41" s="377">
        <f t="shared" si="10"/>
        <v>3885249.5990630747</v>
      </c>
    </row>
    <row r="42" spans="1:16" x14ac:dyDescent="0.25">
      <c r="A42" s="962"/>
      <c r="B42" s="49" t="s">
        <v>105</v>
      </c>
      <c r="C42" s="376"/>
      <c r="D42" s="376"/>
      <c r="E42" s="376"/>
      <c r="F42" s="376"/>
      <c r="G42" s="376"/>
      <c r="H42" s="376"/>
      <c r="I42" s="376"/>
      <c r="J42" s="377">
        <f t="shared" ref="J42:P42" si="11">$C$18*$F$12*(1+J$24)</f>
        <v>4385822.2409607172</v>
      </c>
      <c r="K42" s="377">
        <f t="shared" si="11"/>
        <v>4433889.2656915644</v>
      </c>
      <c r="L42" s="377">
        <f t="shared" si="11"/>
        <v>4480802.411416281</v>
      </c>
      <c r="M42" s="377">
        <f t="shared" si="11"/>
        <v>4528406.3144619437</v>
      </c>
      <c r="N42" s="377">
        <f t="shared" si="11"/>
        <v>4576715.6016072398</v>
      </c>
      <c r="O42" s="377">
        <f t="shared" si="11"/>
        <v>4625745.3182866219</v>
      </c>
      <c r="P42" s="377">
        <f t="shared" si="11"/>
        <v>4679747.0039510988</v>
      </c>
    </row>
    <row r="43" spans="1:16" s="18" customFormat="1" x14ac:dyDescent="0.25">
      <c r="A43" s="257"/>
      <c r="B43" s="258"/>
      <c r="C43" s="261"/>
      <c r="D43" s="261"/>
      <c r="E43" s="261"/>
      <c r="F43" s="261"/>
      <c r="G43" s="261"/>
      <c r="H43" s="261"/>
      <c r="I43" s="261"/>
      <c r="J43" s="259"/>
      <c r="K43" s="259"/>
      <c r="L43" s="259"/>
      <c r="M43" s="259"/>
      <c r="N43" s="259"/>
      <c r="O43" s="259"/>
      <c r="P43" s="259"/>
    </row>
    <row r="44" spans="1:16" s="18" customFormat="1" x14ac:dyDescent="0.25">
      <c r="A44" s="260" t="s">
        <v>156</v>
      </c>
      <c r="B44" s="258"/>
      <c r="C44" s="261"/>
      <c r="D44" s="261"/>
      <c r="E44" s="261"/>
      <c r="F44" s="261"/>
      <c r="G44" s="261"/>
      <c r="H44" s="261"/>
      <c r="I44" s="261"/>
      <c r="J44" s="259"/>
      <c r="K44" s="259"/>
      <c r="L44" s="259"/>
      <c r="M44" s="259"/>
      <c r="N44" s="259"/>
      <c r="O44" s="259"/>
      <c r="P44" s="259"/>
    </row>
    <row r="45" spans="1:16" s="18" customFormat="1" x14ac:dyDescent="0.25">
      <c r="A45" s="225" t="s">
        <v>489</v>
      </c>
      <c r="B45" s="258"/>
      <c r="C45" s="261"/>
      <c r="D45" s="261"/>
      <c r="E45" s="261"/>
      <c r="F45" s="261"/>
      <c r="G45" s="261"/>
      <c r="H45" s="261"/>
      <c r="I45" s="261"/>
      <c r="J45" s="259"/>
      <c r="K45" s="259"/>
      <c r="L45" s="259"/>
      <c r="M45" s="259"/>
      <c r="N45" s="259"/>
      <c r="O45" s="259"/>
      <c r="P45" s="259"/>
    </row>
    <row r="46" spans="1:16" s="18" customFormat="1" x14ac:dyDescent="0.25">
      <c r="A46" s="225" t="s">
        <v>490</v>
      </c>
      <c r="B46" s="258"/>
      <c r="C46" s="261"/>
      <c r="D46" s="261"/>
      <c r="E46" s="261"/>
      <c r="F46" s="261"/>
      <c r="G46" s="261"/>
      <c r="H46" s="261"/>
      <c r="I46" s="261"/>
      <c r="J46" s="259"/>
      <c r="K46" s="259"/>
      <c r="L46" s="259"/>
      <c r="M46" s="259"/>
      <c r="N46" s="259"/>
      <c r="O46" s="259"/>
      <c r="P46" s="259"/>
    </row>
    <row r="48" spans="1:16" ht="15.75" x14ac:dyDescent="0.25">
      <c r="A48" s="15" t="s">
        <v>227</v>
      </c>
    </row>
    <row r="49" spans="1:16" x14ac:dyDescent="0.25">
      <c r="A49" s="830" t="s">
        <v>895</v>
      </c>
      <c r="B49" s="830"/>
      <c r="C49" s="182">
        <v>2019</v>
      </c>
      <c r="D49" s="182">
        <v>2020</v>
      </c>
      <c r="E49" s="182">
        <v>2021</v>
      </c>
      <c r="F49" s="182">
        <v>2022</v>
      </c>
      <c r="G49" s="182">
        <v>2023</v>
      </c>
      <c r="H49" s="182">
        <v>2024</v>
      </c>
      <c r="I49" s="182">
        <v>2025</v>
      </c>
      <c r="J49" s="182">
        <v>2026</v>
      </c>
      <c r="K49" s="182">
        <v>2027</v>
      </c>
      <c r="L49" s="182">
        <v>2028</v>
      </c>
      <c r="M49" s="182">
        <v>2029</v>
      </c>
      <c r="N49" s="182">
        <v>2030</v>
      </c>
      <c r="O49" s="181">
        <v>2031</v>
      </c>
      <c r="P49" s="181">
        <v>2032</v>
      </c>
    </row>
    <row r="50" spans="1:16" x14ac:dyDescent="0.25">
      <c r="A50" s="848" t="s">
        <v>81</v>
      </c>
      <c r="B50" s="848"/>
      <c r="C50" s="377">
        <f>C28+C30</f>
        <v>0</v>
      </c>
      <c r="D50" s="377">
        <f>D28+D30</f>
        <v>7001416.9054734921</v>
      </c>
      <c r="E50" s="377">
        <f t="shared" ref="E50:P50" si="12">E28+E30</f>
        <v>8131266.6331671104</v>
      </c>
      <c r="F50" s="377">
        <f t="shared" si="12"/>
        <v>8422556.9328802098</v>
      </c>
      <c r="G50" s="377">
        <f t="shared" si="12"/>
        <v>8733063.0084056128</v>
      </c>
      <c r="H50" s="377">
        <f t="shared" si="12"/>
        <v>9063167.8921616469</v>
      </c>
      <c r="I50" s="377">
        <f t="shared" si="12"/>
        <v>9413357.211995339</v>
      </c>
      <c r="J50" s="377">
        <f t="shared" si="12"/>
        <v>9947862.8936208356</v>
      </c>
      <c r="K50" s="377">
        <f t="shared" si="12"/>
        <v>10190784.924003823</v>
      </c>
      <c r="L50" s="377">
        <f t="shared" si="12"/>
        <v>10456632.570601748</v>
      </c>
      <c r="M50" s="377">
        <f t="shared" si="12"/>
        <v>10744860.327102622</v>
      </c>
      <c r="N50" s="377">
        <f t="shared" si="12"/>
        <v>11055162.084511111</v>
      </c>
      <c r="O50" s="377">
        <f t="shared" si="12"/>
        <v>11387427.833267597</v>
      </c>
      <c r="P50" s="377">
        <f t="shared" si="12"/>
        <v>11931614.685740044</v>
      </c>
    </row>
    <row r="51" spans="1:16" ht="15.75" thickBot="1" x14ac:dyDescent="0.3">
      <c r="A51" s="900" t="s">
        <v>14</v>
      </c>
      <c r="B51" s="900"/>
      <c r="C51" s="378">
        <f>C29+C31</f>
        <v>0</v>
      </c>
      <c r="D51" s="378">
        <f>D29+D31</f>
        <v>5898503.3691374548</v>
      </c>
      <c r="E51" s="378">
        <f t="shared" ref="E51:P51" si="13">E29+E31</f>
        <v>6664466.1511849295</v>
      </c>
      <c r="F51" s="378">
        <f t="shared" si="13"/>
        <v>6909765.1568115959</v>
      </c>
      <c r="G51" s="378">
        <f t="shared" si="13"/>
        <v>7164092.882938372</v>
      </c>
      <c r="H51" s="378">
        <f t="shared" si="13"/>
        <v>7427781.6496807029</v>
      </c>
      <c r="I51" s="378">
        <f t="shared" si="13"/>
        <v>7701176.0088604745</v>
      </c>
      <c r="J51" s="378">
        <f t="shared" si="13"/>
        <v>7984633.1942186169</v>
      </c>
      <c r="K51" s="378">
        <f t="shared" si="13"/>
        <v>8278523.5881982455</v>
      </c>
      <c r="L51" s="378">
        <f t="shared" si="13"/>
        <v>8583231.2059090268</v>
      </c>
      <c r="M51" s="378">
        <f t="shared" si="13"/>
        <v>8899154.1969049629</v>
      </c>
      <c r="N51" s="378">
        <f t="shared" si="13"/>
        <v>9226705.3654304203</v>
      </c>
      <c r="O51" s="378">
        <f t="shared" si="13"/>
        <v>9566312.7098158151</v>
      </c>
      <c r="P51" s="378">
        <f t="shared" si="13"/>
        <v>9918419.9817260038</v>
      </c>
    </row>
    <row r="52" spans="1:16" ht="15.75" thickTop="1" x14ac:dyDescent="0.25">
      <c r="A52" s="888" t="s">
        <v>75</v>
      </c>
      <c r="B52" s="888"/>
      <c r="C52" s="379">
        <f>SUM(C50:C51)</f>
        <v>0</v>
      </c>
      <c r="D52" s="379">
        <f t="shared" ref="D52" si="14">SUM(D50:D51)</f>
        <v>12899920.274610948</v>
      </c>
      <c r="E52" s="379">
        <f t="shared" ref="E52" si="15">SUM(E50:E51)</f>
        <v>14795732.78435204</v>
      </c>
      <c r="F52" s="379">
        <f t="shared" ref="F52" si="16">SUM(F50:F51)</f>
        <v>15332322.089691807</v>
      </c>
      <c r="G52" s="379">
        <f t="shared" ref="G52" si="17">SUM(G50:G51)</f>
        <v>15897155.891343985</v>
      </c>
      <c r="H52" s="379">
        <f t="shared" ref="H52" si="18">SUM(H50:H51)</f>
        <v>16490949.541842349</v>
      </c>
      <c r="I52" s="379">
        <f t="shared" ref="I52" si="19">SUM(I50:I51)</f>
        <v>17114533.220855813</v>
      </c>
      <c r="J52" s="379">
        <f t="shared" ref="J52" si="20">SUM(J50:J51)</f>
        <v>17932496.087839454</v>
      </c>
      <c r="K52" s="379">
        <f t="shared" ref="K52" si="21">SUM(K50:K51)</f>
        <v>18469308.512202069</v>
      </c>
      <c r="L52" s="379">
        <f t="shared" ref="L52" si="22">SUM(L50:L51)</f>
        <v>19039863.776510775</v>
      </c>
      <c r="M52" s="379">
        <f t="shared" ref="M52" si="23">SUM(M50:M51)</f>
        <v>19644014.524007585</v>
      </c>
      <c r="N52" s="379">
        <f t="shared" ref="N52" si="24">SUM(N50:N51)</f>
        <v>20281867.449941531</v>
      </c>
      <c r="O52" s="379">
        <f t="shared" ref="O52" si="25">SUM(O50:O51)</f>
        <v>20953740.543083414</v>
      </c>
      <c r="P52" s="379">
        <f t="shared" ref="P52" si="26">SUM(P50:P51)</f>
        <v>21850034.667466048</v>
      </c>
    </row>
    <row r="53" spans="1:16" x14ac:dyDescent="0.25">
      <c r="A53" s="125" t="s">
        <v>902</v>
      </c>
      <c r="B53" s="125"/>
    </row>
    <row r="55" spans="1:16" x14ac:dyDescent="0.25">
      <c r="A55" s="830" t="s">
        <v>897</v>
      </c>
      <c r="B55" s="830"/>
      <c r="C55" s="182">
        <v>2019</v>
      </c>
      <c r="D55" s="182">
        <v>2020</v>
      </c>
      <c r="E55" s="182">
        <v>2021</v>
      </c>
      <c r="F55" s="182">
        <v>2022</v>
      </c>
      <c r="G55" s="182">
        <v>2023</v>
      </c>
      <c r="H55" s="182">
        <v>2024</v>
      </c>
      <c r="I55" s="182">
        <v>2025</v>
      </c>
      <c r="J55" s="182">
        <v>2026</v>
      </c>
      <c r="K55" s="182">
        <v>2027</v>
      </c>
      <c r="L55" s="182">
        <v>2028</v>
      </c>
      <c r="M55" s="182">
        <v>2029</v>
      </c>
      <c r="N55" s="182">
        <v>2030</v>
      </c>
      <c r="O55" s="181">
        <v>2031</v>
      </c>
      <c r="P55" s="181">
        <v>2032</v>
      </c>
    </row>
    <row r="56" spans="1:16" x14ac:dyDescent="0.25">
      <c r="A56" s="848" t="s">
        <v>264</v>
      </c>
      <c r="B56" s="848"/>
      <c r="C56" s="377">
        <f>SUM(C28:C29)</f>
        <v>0</v>
      </c>
      <c r="D56" s="377">
        <f>SUM(D28:D29)</f>
        <v>12899920.274610948</v>
      </c>
      <c r="E56" s="377">
        <f t="shared" ref="E56:P56" si="27">SUM(E28:E29)</f>
        <v>13837272.473882802</v>
      </c>
      <c r="F56" s="377">
        <f t="shared" si="27"/>
        <v>14339229.861811336</v>
      </c>
      <c r="G56" s="377">
        <f t="shared" si="27"/>
        <v>14867470.761213941</v>
      </c>
      <c r="H56" s="377">
        <f t="shared" si="27"/>
        <v>15422664.54363443</v>
      </c>
      <c r="I56" s="377">
        <f t="shared" si="27"/>
        <v>16005586.565257892</v>
      </c>
      <c r="J56" s="377">
        <f t="shared" si="27"/>
        <v>16767540.809856396</v>
      </c>
      <c r="K56" s="377">
        <f t="shared" si="27"/>
        <v>17271430.931041509</v>
      </c>
      <c r="L56" s="377">
        <f t="shared" si="27"/>
        <v>17806722.261423476</v>
      </c>
      <c r="M56" s="377">
        <f t="shared" si="27"/>
        <v>18373293.505836122</v>
      </c>
      <c r="N56" s="377">
        <f t="shared" si="27"/>
        <v>18971257.416188948</v>
      </c>
      <c r="O56" s="377">
        <f t="shared" si="27"/>
        <v>19600921.506804552</v>
      </c>
      <c r="P56" s="377">
        <f t="shared" si="27"/>
        <v>20437319.101801261</v>
      </c>
    </row>
    <row r="57" spans="1:16" ht="15.75" thickBot="1" x14ac:dyDescent="0.3">
      <c r="A57" s="943" t="s">
        <v>265</v>
      </c>
      <c r="B57" s="943"/>
      <c r="C57" s="378">
        <f>SUM(C30:C31)</f>
        <v>0</v>
      </c>
      <c r="D57" s="378">
        <f>SUM(D30:D31)</f>
        <v>0</v>
      </c>
      <c r="E57" s="378">
        <f t="shared" ref="E57:P57" si="28">SUM(E30:E31)</f>
        <v>958460.31046923948</v>
      </c>
      <c r="F57" s="378">
        <f t="shared" si="28"/>
        <v>993092.22788046952</v>
      </c>
      <c r="G57" s="378">
        <f t="shared" si="28"/>
        <v>1029685.1301300435</v>
      </c>
      <c r="H57" s="378">
        <f t="shared" si="28"/>
        <v>1068284.9982079193</v>
      </c>
      <c r="I57" s="378">
        <f t="shared" si="28"/>
        <v>1108946.6555979215</v>
      </c>
      <c r="J57" s="378">
        <f t="shared" si="28"/>
        <v>1164955.2779830573</v>
      </c>
      <c r="K57" s="378">
        <f t="shared" si="28"/>
        <v>1197877.5811605614</v>
      </c>
      <c r="L57" s="378">
        <f t="shared" si="28"/>
        <v>1233141.5150872988</v>
      </c>
      <c r="M57" s="378">
        <f t="shared" si="28"/>
        <v>1270721.0181714615</v>
      </c>
      <c r="N57" s="378">
        <f t="shared" si="28"/>
        <v>1310610.0337525823</v>
      </c>
      <c r="O57" s="378">
        <f t="shared" si="28"/>
        <v>1352819.0362788611</v>
      </c>
      <c r="P57" s="378">
        <f t="shared" si="28"/>
        <v>1412715.5656647871</v>
      </c>
    </row>
    <row r="58" spans="1:16" ht="15.75" thickTop="1" x14ac:dyDescent="0.25">
      <c r="A58" s="941" t="s">
        <v>75</v>
      </c>
      <c r="B58" s="941"/>
      <c r="C58" s="379">
        <f>SUM(C56:C57)</f>
        <v>0</v>
      </c>
      <c r="D58" s="379">
        <f t="shared" ref="D58:P58" si="29">SUM(D56:D57)</f>
        <v>12899920.274610948</v>
      </c>
      <c r="E58" s="379">
        <f t="shared" si="29"/>
        <v>14795732.784352042</v>
      </c>
      <c r="F58" s="379">
        <f t="shared" si="29"/>
        <v>15332322.089691807</v>
      </c>
      <c r="G58" s="379">
        <f t="shared" si="29"/>
        <v>15897155.891343985</v>
      </c>
      <c r="H58" s="379">
        <f t="shared" si="29"/>
        <v>16490949.541842349</v>
      </c>
      <c r="I58" s="379">
        <f t="shared" si="29"/>
        <v>17114533.220855813</v>
      </c>
      <c r="J58" s="379">
        <f t="shared" si="29"/>
        <v>17932496.087839454</v>
      </c>
      <c r="K58" s="379">
        <f t="shared" si="29"/>
        <v>18469308.512202069</v>
      </c>
      <c r="L58" s="379">
        <f t="shared" si="29"/>
        <v>19039863.776510775</v>
      </c>
      <c r="M58" s="379">
        <f t="shared" si="29"/>
        <v>19644014.524007585</v>
      </c>
      <c r="N58" s="379">
        <f t="shared" si="29"/>
        <v>20281867.449941531</v>
      </c>
      <c r="O58" s="379">
        <f t="shared" si="29"/>
        <v>20953740.543083414</v>
      </c>
      <c r="P58" s="379">
        <f t="shared" si="29"/>
        <v>21850034.667466048</v>
      </c>
    </row>
    <row r="60" spans="1:16" x14ac:dyDescent="0.25">
      <c r="A60" s="830" t="s">
        <v>260</v>
      </c>
      <c r="B60" s="830"/>
      <c r="C60" s="182">
        <v>2019</v>
      </c>
      <c r="D60" s="182">
        <v>2020</v>
      </c>
      <c r="E60" s="182">
        <v>2021</v>
      </c>
      <c r="F60" s="182">
        <v>2022</v>
      </c>
      <c r="G60" s="182">
        <v>2023</v>
      </c>
      <c r="H60" s="182">
        <v>2024</v>
      </c>
      <c r="I60" s="182">
        <v>2025</v>
      </c>
      <c r="J60" s="182">
        <v>2026</v>
      </c>
      <c r="K60" s="182">
        <v>2027</v>
      </c>
      <c r="L60" s="182">
        <v>2028</v>
      </c>
      <c r="M60" s="182">
        <v>2029</v>
      </c>
      <c r="N60" s="182">
        <v>2030</v>
      </c>
      <c r="O60" s="181">
        <v>2031</v>
      </c>
      <c r="P60" s="181">
        <v>2032</v>
      </c>
    </row>
    <row r="61" spans="1:16" x14ac:dyDescent="0.25">
      <c r="A61" s="848" t="s">
        <v>81</v>
      </c>
      <c r="B61" s="848"/>
      <c r="C61" s="377">
        <f>SUM(C35,C39)</f>
        <v>0</v>
      </c>
      <c r="D61" s="377">
        <f>SUM(D35,D39)</f>
        <v>7615576.2831466058</v>
      </c>
      <c r="E61" s="377">
        <f t="shared" ref="E61:P61" si="30">SUM(E35,E39)</f>
        <v>8844535.6360765062</v>
      </c>
      <c r="F61" s="377">
        <f t="shared" si="30"/>
        <v>9161377.716466194</v>
      </c>
      <c r="G61" s="377">
        <f t="shared" si="30"/>
        <v>9499121.1670376863</v>
      </c>
      <c r="H61" s="377">
        <f t="shared" si="30"/>
        <v>9858182.6195442472</v>
      </c>
      <c r="I61" s="377">
        <f t="shared" si="30"/>
        <v>10239090.300766863</v>
      </c>
      <c r="J61" s="377">
        <f t="shared" si="30"/>
        <v>10820482.445692841</v>
      </c>
      <c r="K61" s="377">
        <f t="shared" si="30"/>
        <v>11084713.426109422</v>
      </c>
      <c r="L61" s="377">
        <f t="shared" si="30"/>
        <v>11373881.041707166</v>
      </c>
      <c r="M61" s="377">
        <f t="shared" si="30"/>
        <v>11687391.934743203</v>
      </c>
      <c r="N61" s="377">
        <f t="shared" si="30"/>
        <v>12024913.144555945</v>
      </c>
      <c r="O61" s="377">
        <f t="shared" si="30"/>
        <v>12386325.011624405</v>
      </c>
      <c r="P61" s="377">
        <f t="shared" si="30"/>
        <v>12978247.552910224</v>
      </c>
    </row>
    <row r="62" spans="1:16" x14ac:dyDescent="0.25">
      <c r="A62" s="848" t="s">
        <v>14</v>
      </c>
      <c r="B62" s="848"/>
      <c r="C62" s="377">
        <f>SUM(C36,C40)</f>
        <v>0</v>
      </c>
      <c r="D62" s="377">
        <f>SUM(D36,D40)</f>
        <v>5898503.3691374548</v>
      </c>
      <c r="E62" s="377">
        <f t="shared" ref="E62:P62" si="31">SUM(E36,E40)</f>
        <v>6664466.1511849295</v>
      </c>
      <c r="F62" s="377">
        <f t="shared" si="31"/>
        <v>6909765.1568115959</v>
      </c>
      <c r="G62" s="377">
        <f t="shared" si="31"/>
        <v>7164092.882938372</v>
      </c>
      <c r="H62" s="377">
        <f t="shared" si="31"/>
        <v>7427781.6496807029</v>
      </c>
      <c r="I62" s="377">
        <f t="shared" si="31"/>
        <v>7701176.0088604745</v>
      </c>
      <c r="J62" s="377">
        <f t="shared" si="31"/>
        <v>7984633.1942186169</v>
      </c>
      <c r="K62" s="377">
        <f t="shared" si="31"/>
        <v>8278523.5881982455</v>
      </c>
      <c r="L62" s="377">
        <f t="shared" si="31"/>
        <v>8583231.2059090268</v>
      </c>
      <c r="M62" s="377">
        <f t="shared" si="31"/>
        <v>8899154.1969049629</v>
      </c>
      <c r="N62" s="377">
        <f t="shared" si="31"/>
        <v>9226705.3654304203</v>
      </c>
      <c r="O62" s="377">
        <f t="shared" si="31"/>
        <v>9566312.7098158151</v>
      </c>
      <c r="P62" s="377">
        <f t="shared" si="31"/>
        <v>9918419.9817260038</v>
      </c>
    </row>
    <row r="63" spans="1:16" x14ac:dyDescent="0.25">
      <c r="A63" s="940" t="s">
        <v>822</v>
      </c>
      <c r="B63" s="848"/>
      <c r="C63" s="377">
        <f t="shared" ref="C63:G63" si="32">SUM(C37,C41)</f>
        <v>0</v>
      </c>
      <c r="D63" s="377">
        <f t="shared" si="32"/>
        <v>0</v>
      </c>
      <c r="E63" s="377">
        <f t="shared" si="32"/>
        <v>0</v>
      </c>
      <c r="F63" s="377">
        <f t="shared" si="32"/>
        <v>0</v>
      </c>
      <c r="G63" s="377">
        <f t="shared" si="32"/>
        <v>0</v>
      </c>
      <c r="H63" s="377">
        <f>SUM(H37,H41)</f>
        <v>133509217.94804139</v>
      </c>
      <c r="I63" s="377">
        <f t="shared" ref="I63:P63" si="33">SUM(I37,I41)</f>
        <v>137409051.64444539</v>
      </c>
      <c r="J63" s="377">
        <f t="shared" si="33"/>
        <v>141437572.23578629</v>
      </c>
      <c r="K63" s="377">
        <f t="shared" si="33"/>
        <v>145587508.19872662</v>
      </c>
      <c r="L63" s="377">
        <f t="shared" si="33"/>
        <v>148897502.38786951</v>
      </c>
      <c r="M63" s="377">
        <f t="shared" si="33"/>
        <v>152283108.99526638</v>
      </c>
      <c r="N63" s="377">
        <f t="shared" si="33"/>
        <v>155746063.23360556</v>
      </c>
      <c r="O63" s="377">
        <f t="shared" si="33"/>
        <v>159288140.31328508</v>
      </c>
      <c r="P63" s="377">
        <f t="shared" si="33"/>
        <v>163053532.62999979</v>
      </c>
    </row>
    <row r="64" spans="1:16" ht="15.75" thickBot="1" x14ac:dyDescent="0.3">
      <c r="A64" s="900" t="s">
        <v>105</v>
      </c>
      <c r="B64" s="900"/>
      <c r="C64" s="378">
        <f>SUM(C38,C42)</f>
        <v>0</v>
      </c>
      <c r="D64" s="378">
        <f t="shared" ref="D64:I64" si="34">SUM(D38,D42)</f>
        <v>0</v>
      </c>
      <c r="E64" s="378">
        <f t="shared" si="34"/>
        <v>0</v>
      </c>
      <c r="F64" s="378">
        <f t="shared" si="34"/>
        <v>0</v>
      </c>
      <c r="G64" s="378">
        <f t="shared" si="34"/>
        <v>0</v>
      </c>
      <c r="H64" s="378">
        <f t="shared" si="34"/>
        <v>0</v>
      </c>
      <c r="I64" s="378">
        <f t="shared" si="34"/>
        <v>0</v>
      </c>
      <c r="J64" s="378">
        <f>SUM(J38,J42)</f>
        <v>146630616.54033011</v>
      </c>
      <c r="K64" s="378">
        <f t="shared" ref="K64:P64" si="35">SUM(K38,K42)</f>
        <v>148237635.03864473</v>
      </c>
      <c r="L64" s="378">
        <f t="shared" si="35"/>
        <v>149806076.0523313</v>
      </c>
      <c r="M64" s="378">
        <f t="shared" si="35"/>
        <v>151397611.06442574</v>
      </c>
      <c r="N64" s="378">
        <f t="shared" si="35"/>
        <v>153012729.09009087</v>
      </c>
      <c r="O64" s="378">
        <f t="shared" si="35"/>
        <v>154651933.14135236</v>
      </c>
      <c r="P64" s="378">
        <f t="shared" si="35"/>
        <v>156457364.37594447</v>
      </c>
    </row>
    <row r="65" spans="1:16" ht="15.75" thickTop="1" x14ac:dyDescent="0.25">
      <c r="A65" s="888" t="s">
        <v>75</v>
      </c>
      <c r="B65" s="888"/>
      <c r="C65" s="379">
        <f>SUM(C61:C64)</f>
        <v>0</v>
      </c>
      <c r="D65" s="379">
        <f t="shared" ref="D65:P65" si="36">SUM(D61:D64)</f>
        <v>13514079.65228406</v>
      </c>
      <c r="E65" s="379">
        <f t="shared" si="36"/>
        <v>15509001.787261436</v>
      </c>
      <c r="F65" s="379">
        <f t="shared" si="36"/>
        <v>16071142.873277791</v>
      </c>
      <c r="G65" s="379">
        <f t="shared" si="36"/>
        <v>16663214.049976058</v>
      </c>
      <c r="H65" s="379">
        <f t="shared" si="36"/>
        <v>150795182.21726635</v>
      </c>
      <c r="I65" s="379">
        <f t="shared" si="36"/>
        <v>155349317.95407271</v>
      </c>
      <c r="J65" s="379">
        <f t="shared" si="36"/>
        <v>306873304.41602784</v>
      </c>
      <c r="K65" s="379">
        <f t="shared" si="36"/>
        <v>313188380.25167906</v>
      </c>
      <c r="L65" s="379">
        <f t="shared" si="36"/>
        <v>318660690.68781698</v>
      </c>
      <c r="M65" s="379">
        <f t="shared" si="36"/>
        <v>324267266.19134033</v>
      </c>
      <c r="N65" s="379">
        <f t="shared" si="36"/>
        <v>330010410.83368278</v>
      </c>
      <c r="O65" s="379">
        <f t="shared" si="36"/>
        <v>335892711.17607766</v>
      </c>
      <c r="P65" s="379">
        <f t="shared" si="36"/>
        <v>342407564.54058051</v>
      </c>
    </row>
    <row r="67" spans="1:16" x14ac:dyDescent="0.25">
      <c r="A67" s="830" t="s">
        <v>298</v>
      </c>
      <c r="B67" s="830"/>
      <c r="C67" s="182">
        <v>2019</v>
      </c>
      <c r="D67" s="182">
        <v>2020</v>
      </c>
      <c r="E67" s="182">
        <v>2021</v>
      </c>
      <c r="F67" s="182">
        <v>2022</v>
      </c>
      <c r="G67" s="182">
        <v>2023</v>
      </c>
      <c r="H67" s="182">
        <v>2024</v>
      </c>
      <c r="I67" s="182">
        <v>2025</v>
      </c>
      <c r="J67" s="182">
        <v>2026</v>
      </c>
      <c r="K67" s="182">
        <v>2027</v>
      </c>
      <c r="L67" s="182">
        <v>2028</v>
      </c>
      <c r="M67" s="182">
        <v>2029</v>
      </c>
      <c r="N67" s="182">
        <v>2030</v>
      </c>
      <c r="O67" s="181">
        <v>2031</v>
      </c>
      <c r="P67" s="181">
        <v>2032</v>
      </c>
    </row>
    <row r="68" spans="1:16" x14ac:dyDescent="0.25">
      <c r="A68" s="848" t="s">
        <v>264</v>
      </c>
      <c r="B68" s="848"/>
      <c r="C68" s="377">
        <f>SUM(C35:C38)</f>
        <v>0</v>
      </c>
      <c r="D68" s="377">
        <f>SUM(D35:D38)</f>
        <v>13514079.65228406</v>
      </c>
      <c r="E68" s="377">
        <f t="shared" ref="E68:P68" si="37">SUM(E35:E38)</f>
        <v>14492913.359263742</v>
      </c>
      <c r="F68" s="377">
        <f t="shared" si="37"/>
        <v>15018358.087925611</v>
      </c>
      <c r="G68" s="377">
        <f t="shared" si="37"/>
        <v>15571635.735901095</v>
      </c>
      <c r="H68" s="377">
        <f t="shared" si="37"/>
        <v>146481398.65485963</v>
      </c>
      <c r="I68" s="377">
        <f t="shared" si="37"/>
        <v>150899465.38665867</v>
      </c>
      <c r="J68" s="377">
        <f t="shared" si="37"/>
        <v>297881840.98684895</v>
      </c>
      <c r="K68" s="377">
        <f t="shared" si="37"/>
        <v>304015320.92222607</v>
      </c>
      <c r="L68" s="377">
        <f t="shared" si="37"/>
        <v>309324699.41156328</v>
      </c>
      <c r="M68" s="377">
        <f t="shared" si="37"/>
        <v>314763376.33157897</v>
      </c>
      <c r="N68" s="377">
        <f t="shared" si="37"/>
        <v>320333608.00629753</v>
      </c>
      <c r="O68" s="377">
        <f t="shared" si="37"/>
        <v>326037913.95690942</v>
      </c>
      <c r="P68" s="377">
        <f t="shared" si="37"/>
        <v>332345290.3320086</v>
      </c>
    </row>
    <row r="69" spans="1:16" ht="15.75" thickBot="1" x14ac:dyDescent="0.3">
      <c r="A69" s="943" t="s">
        <v>265</v>
      </c>
      <c r="B69" s="943"/>
      <c r="C69" s="378">
        <f>SUM(C39:C42)</f>
        <v>0</v>
      </c>
      <c r="D69" s="378">
        <f>SUM(D39:D42)</f>
        <v>0</v>
      </c>
      <c r="E69" s="378">
        <f t="shared" ref="E69:P69" si="38">SUM(E39:E42)</f>
        <v>1016088.4279976934</v>
      </c>
      <c r="F69" s="378">
        <f t="shared" si="38"/>
        <v>1052784.7853521784</v>
      </c>
      <c r="G69" s="378">
        <f t="shared" si="38"/>
        <v>1091578.3140749622</v>
      </c>
      <c r="H69" s="378">
        <f t="shared" si="38"/>
        <v>4313783.562406702</v>
      </c>
      <c r="I69" s="378">
        <f t="shared" si="38"/>
        <v>4449852.5674140677</v>
      </c>
      <c r="J69" s="378">
        <f t="shared" si="38"/>
        <v>8991463.4291788638</v>
      </c>
      <c r="K69" s="378">
        <f t="shared" si="38"/>
        <v>9173059.3294529226</v>
      </c>
      <c r="L69" s="378">
        <f t="shared" si="38"/>
        <v>9335991.2762536705</v>
      </c>
      <c r="M69" s="378">
        <f t="shared" si="38"/>
        <v>9503889.8597613052</v>
      </c>
      <c r="N69" s="378">
        <f t="shared" si="38"/>
        <v>9676802.8273852821</v>
      </c>
      <c r="O69" s="378">
        <f t="shared" si="38"/>
        <v>9854797.2191682253</v>
      </c>
      <c r="P69" s="378">
        <f t="shared" si="38"/>
        <v>10062274.208571907</v>
      </c>
    </row>
    <row r="70" spans="1:16" ht="15.75" thickTop="1" x14ac:dyDescent="0.25">
      <c r="A70" s="941" t="s">
        <v>75</v>
      </c>
      <c r="B70" s="941"/>
      <c r="C70" s="379">
        <f>SUM(C68:C69)</f>
        <v>0</v>
      </c>
      <c r="D70" s="379">
        <f t="shared" ref="D70" si="39">SUM(D68:D69)</f>
        <v>13514079.65228406</v>
      </c>
      <c r="E70" s="379">
        <f t="shared" ref="E70" si="40">SUM(E68:E69)</f>
        <v>15509001.787261436</v>
      </c>
      <c r="F70" s="379">
        <f t="shared" ref="F70" si="41">SUM(F68:F69)</f>
        <v>16071142.873277789</v>
      </c>
      <c r="G70" s="379">
        <f t="shared" ref="G70" si="42">SUM(G68:G69)</f>
        <v>16663214.049976056</v>
      </c>
      <c r="H70" s="379">
        <f t="shared" ref="H70" si="43">SUM(H68:H69)</f>
        <v>150795182.21726632</v>
      </c>
      <c r="I70" s="379">
        <f t="shared" ref="I70" si="44">SUM(I68:I69)</f>
        <v>155349317.95407274</v>
      </c>
      <c r="J70" s="379">
        <f t="shared" ref="J70" si="45">SUM(J68:J69)</f>
        <v>306873304.41602778</v>
      </c>
      <c r="K70" s="379">
        <f t="shared" ref="K70" si="46">SUM(K68:K69)</f>
        <v>313188380.251679</v>
      </c>
      <c r="L70" s="379">
        <f t="shared" ref="L70" si="47">SUM(L68:L69)</f>
        <v>318660690.68781698</v>
      </c>
      <c r="M70" s="379">
        <f t="shared" ref="M70" si="48">SUM(M68:M69)</f>
        <v>324267266.19134027</v>
      </c>
      <c r="N70" s="379">
        <f t="shared" ref="N70" si="49">SUM(N68:N69)</f>
        <v>330010410.83368284</v>
      </c>
      <c r="O70" s="379">
        <f t="shared" ref="O70" si="50">SUM(O68:O69)</f>
        <v>335892711.17607766</v>
      </c>
      <c r="P70" s="379">
        <f t="shared" ref="P70" si="51">SUM(P68:P69)</f>
        <v>342407564.54058051</v>
      </c>
    </row>
  </sheetData>
  <sheetProtection algorithmName="SHA-512" hashValue="NwE2MjzH25B52oMlUf/q0rh6j9CMKZxzaccBglsSbIyarLM6NY2T7cwdbi3NEgcfHB+GPLd49xYCu1tUmaOywA==" saltValue="SMNRcMDvZWBDNYcMPHah1A==" spinCount="100000" sheet="1" objects="1" scenarios="1"/>
  <mergeCells count="44">
    <mergeCell ref="B1:D1"/>
    <mergeCell ref="B2:D2"/>
    <mergeCell ref="B3:D3"/>
    <mergeCell ref="A67:B67"/>
    <mergeCell ref="A68:B68"/>
    <mergeCell ref="A55:B55"/>
    <mergeCell ref="A56:B56"/>
    <mergeCell ref="A57:B57"/>
    <mergeCell ref="A58:B58"/>
    <mergeCell ref="A60:B60"/>
    <mergeCell ref="A52:B52"/>
    <mergeCell ref="A49:B49"/>
    <mergeCell ref="A50:B50"/>
    <mergeCell ref="A51:B51"/>
    <mergeCell ref="D14:E14"/>
    <mergeCell ref="D15:E15"/>
    <mergeCell ref="A69:B69"/>
    <mergeCell ref="A70:B70"/>
    <mergeCell ref="A61:B61"/>
    <mergeCell ref="A62:B62"/>
    <mergeCell ref="A63:B63"/>
    <mergeCell ref="A64:B64"/>
    <mergeCell ref="A65:B65"/>
    <mergeCell ref="C6:E6"/>
    <mergeCell ref="A35:A38"/>
    <mergeCell ref="A39:A42"/>
    <mergeCell ref="D16:E16"/>
    <mergeCell ref="D17:E17"/>
    <mergeCell ref="D18:E18"/>
    <mergeCell ref="A28:A29"/>
    <mergeCell ref="A30:A31"/>
    <mergeCell ref="A11:B11"/>
    <mergeCell ref="A12:B12"/>
    <mergeCell ref="C7:E7"/>
    <mergeCell ref="C8:E8"/>
    <mergeCell ref="C9:E9"/>
    <mergeCell ref="C10:E10"/>
    <mergeCell ref="C11:E11"/>
    <mergeCell ref="C12:E12"/>
    <mergeCell ref="A6:B6"/>
    <mergeCell ref="A7:B7"/>
    <mergeCell ref="A8:B8"/>
    <mergeCell ref="A9:B9"/>
    <mergeCell ref="A10:B10"/>
  </mergeCells>
  <pageMargins left="0.7" right="0.7" top="0.75" bottom="0.75" header="0.3" footer="0.3"/>
  <pageSetup paperSize="5" pageOrder="overThenDown" orientation="landscape" r:id="rId1"/>
  <rowBreaks count="2" manualBreakCount="2">
    <brk id="25" max="16383" man="1"/>
    <brk id="47" max="1638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theme="9" tint="0.59999389629810485"/>
  </sheetPr>
  <dimension ref="A1:O209"/>
  <sheetViews>
    <sheetView zoomScaleNormal="100" zoomScaleSheetLayoutView="80" workbookViewId="0">
      <selection activeCell="E27" sqref="E27:E31"/>
    </sheetView>
  </sheetViews>
  <sheetFormatPr defaultColWidth="9.140625" defaultRowHeight="15" x14ac:dyDescent="0.25"/>
  <cols>
    <col min="1" max="1" width="47.140625" style="267" customWidth="1"/>
    <col min="2" max="3" width="18.5703125" style="267" customWidth="1"/>
    <col min="4" max="6" width="12.42578125" style="267" bestFit="1" customWidth="1"/>
    <col min="7" max="9" width="12.42578125" style="267" customWidth="1"/>
    <col min="10" max="10" width="13.28515625" style="267" customWidth="1"/>
    <col min="11" max="11" width="13.42578125" style="267" customWidth="1"/>
    <col min="12" max="17" width="13.7109375" style="267" bestFit="1" customWidth="1"/>
    <col min="18" max="16384" width="9.140625" style="267"/>
  </cols>
  <sheetData>
    <row r="1" spans="1:7" ht="18.75" x14ac:dyDescent="0.3">
      <c r="A1" s="651" t="s">
        <v>49</v>
      </c>
      <c r="D1" s="986" t="s">
        <v>386</v>
      </c>
      <c r="E1" s="987"/>
      <c r="F1" s="987"/>
      <c r="G1" s="988"/>
    </row>
    <row r="2" spans="1:7" x14ac:dyDescent="0.25">
      <c r="D2" s="989" t="s">
        <v>379</v>
      </c>
      <c r="E2" s="990"/>
      <c r="F2" s="990"/>
      <c r="G2" s="991"/>
    </row>
    <row r="3" spans="1:7" x14ac:dyDescent="0.25">
      <c r="D3" s="947" t="s">
        <v>375</v>
      </c>
      <c r="E3" s="948"/>
      <c r="F3" s="948"/>
      <c r="G3" s="949"/>
    </row>
    <row r="5" spans="1:7" ht="15.75" x14ac:dyDescent="0.25">
      <c r="A5" s="652" t="s">
        <v>262</v>
      </c>
    </row>
    <row r="7" spans="1:7" x14ac:dyDescent="0.25">
      <c r="A7" s="284" t="s">
        <v>269</v>
      </c>
      <c r="B7" s="284" t="s">
        <v>15</v>
      </c>
      <c r="C7" s="265" t="s">
        <v>25</v>
      </c>
    </row>
    <row r="8" spans="1:7" ht="15" customHeight="1" x14ac:dyDescent="0.25">
      <c r="A8" s="244" t="s">
        <v>81</v>
      </c>
      <c r="B8" s="244" t="s">
        <v>288</v>
      </c>
      <c r="C8" s="374">
        <f>'Electricity &amp; Fuel'!C9</f>
        <v>38.7546172626759</v>
      </c>
    </row>
    <row r="9" spans="1:7" x14ac:dyDescent="0.25">
      <c r="A9" s="244" t="s">
        <v>14</v>
      </c>
      <c r="B9" s="244" t="s">
        <v>288</v>
      </c>
      <c r="C9" s="374">
        <f>'Electricity &amp; Fuel'!C10</f>
        <v>11.243408662899901</v>
      </c>
    </row>
    <row r="10" spans="1:7" x14ac:dyDescent="0.25">
      <c r="A10" s="244" t="s">
        <v>822</v>
      </c>
      <c r="B10" s="244" t="s">
        <v>288</v>
      </c>
      <c r="C10" s="268">
        <f>'Electricity &amp; Fuel'!C11</f>
        <v>19.8</v>
      </c>
    </row>
    <row r="11" spans="1:7" x14ac:dyDescent="0.25">
      <c r="A11" s="244" t="s">
        <v>225</v>
      </c>
      <c r="B11" s="244" t="s">
        <v>288</v>
      </c>
      <c r="C11" s="268">
        <f>AVERAGE('Electricity &amp; Fuel'!C12:C12)</f>
        <v>40.700000000000003</v>
      </c>
    </row>
    <row r="13" spans="1:7" x14ac:dyDescent="0.25">
      <c r="A13" s="284" t="s">
        <v>270</v>
      </c>
      <c r="B13" s="284" t="s">
        <v>15</v>
      </c>
      <c r="C13" s="265" t="s">
        <v>25</v>
      </c>
    </row>
    <row r="14" spans="1:7" x14ac:dyDescent="0.25">
      <c r="A14" s="244" t="s">
        <v>43</v>
      </c>
      <c r="B14" s="244" t="s">
        <v>289</v>
      </c>
      <c r="C14" s="653">
        <f>'Electricity &amp; Fuel'!B9</f>
        <v>1053.351354175441</v>
      </c>
    </row>
    <row r="15" spans="1:7" x14ac:dyDescent="0.25">
      <c r="A15" s="244" t="s">
        <v>44</v>
      </c>
      <c r="B15" s="244" t="s">
        <v>289</v>
      </c>
      <c r="C15" s="268">
        <f>'Electricity &amp; Fuel'!B10</f>
        <v>5620</v>
      </c>
    </row>
    <row r="16" spans="1:7" x14ac:dyDescent="0.25">
      <c r="A16" s="244" t="s">
        <v>853</v>
      </c>
      <c r="B16" s="244" t="s">
        <v>289</v>
      </c>
      <c r="C16" s="268">
        <f>'Electricity &amp; Fuel'!B11</f>
        <v>1159</v>
      </c>
    </row>
    <row r="17" spans="1:7" x14ac:dyDescent="0.25">
      <c r="A17" s="244" t="s">
        <v>271</v>
      </c>
      <c r="B17" s="244" t="s">
        <v>289</v>
      </c>
      <c r="C17" s="653">
        <f>'Electricity &amp; Fuel'!B12</f>
        <v>943.79758380144733</v>
      </c>
      <c r="E17" s="643"/>
      <c r="F17" s="643"/>
      <c r="G17" s="643"/>
    </row>
    <row r="18" spans="1:7" x14ac:dyDescent="0.25">
      <c r="A18" s="654"/>
      <c r="B18" s="654"/>
      <c r="C18" s="654"/>
      <c r="E18" s="643"/>
      <c r="F18" s="643"/>
      <c r="G18" s="643"/>
    </row>
    <row r="19" spans="1:7" x14ac:dyDescent="0.25">
      <c r="A19" s="284" t="s">
        <v>272</v>
      </c>
      <c r="B19" s="284" t="s">
        <v>15</v>
      </c>
      <c r="C19" s="265" t="s">
        <v>25</v>
      </c>
      <c r="E19" s="655"/>
      <c r="F19" s="655"/>
      <c r="G19" s="655"/>
    </row>
    <row r="20" spans="1:7" x14ac:dyDescent="0.25">
      <c r="A20" s="244" t="s">
        <v>274</v>
      </c>
      <c r="B20" s="268" t="str">
        <f>'Electricity &amp; Fuel'!E87</f>
        <v>g/kW-hr</v>
      </c>
      <c r="C20" s="268">
        <f>'Electricity &amp; Fuel'!D87</f>
        <v>217</v>
      </c>
      <c r="E20" s="656"/>
      <c r="F20" s="656"/>
      <c r="G20" s="657"/>
    </row>
    <row r="21" spans="1:7" x14ac:dyDescent="0.25">
      <c r="A21" s="244" t="s">
        <v>275</v>
      </c>
      <c r="B21" s="268" t="str">
        <f>'Electricity &amp; Fuel'!D82</f>
        <v>percent</v>
      </c>
      <c r="C21" s="658">
        <f>'Electricity &amp; Fuel'!C82</f>
        <v>1</v>
      </c>
      <c r="D21" s="654"/>
      <c r="E21" s="656"/>
      <c r="F21" s="656"/>
      <c r="G21" s="657"/>
    </row>
    <row r="22" spans="1:7" x14ac:dyDescent="0.25">
      <c r="E22" s="643"/>
      <c r="F22" s="643"/>
      <c r="G22" s="643"/>
    </row>
    <row r="23" spans="1:7" x14ac:dyDescent="0.25">
      <c r="A23" s="284" t="s">
        <v>287</v>
      </c>
      <c r="B23" s="284" t="s">
        <v>15</v>
      </c>
      <c r="C23" s="265" t="s">
        <v>25</v>
      </c>
    </row>
    <row r="24" spans="1:7" x14ac:dyDescent="0.25">
      <c r="A24" s="244" t="s">
        <v>466</v>
      </c>
      <c r="B24" s="268" t="str">
        <f>'Cost Inputs'!B126:C126</f>
        <v>Cost per visit ($)</v>
      </c>
      <c r="C24" s="271">
        <f>'Cost Inputs'!D126</f>
        <v>2355</v>
      </c>
    </row>
    <row r="26" spans="1:7" ht="15" customHeight="1" x14ac:dyDescent="0.25">
      <c r="A26" s="659" t="s">
        <v>268</v>
      </c>
      <c r="B26" s="1002" t="s">
        <v>892</v>
      </c>
      <c r="C26" s="1003"/>
      <c r="D26" s="1004" t="s">
        <v>253</v>
      </c>
      <c r="E26" s="1005"/>
    </row>
    <row r="27" spans="1:7" x14ac:dyDescent="0.25">
      <c r="A27" s="972" t="s">
        <v>445</v>
      </c>
      <c r="B27" s="999" t="s">
        <v>10</v>
      </c>
      <c r="C27" s="1000" t="s">
        <v>11</v>
      </c>
      <c r="D27" s="971" t="s">
        <v>10</v>
      </c>
      <c r="E27" s="897" t="s">
        <v>11</v>
      </c>
    </row>
    <row r="28" spans="1:7" x14ac:dyDescent="0.25">
      <c r="A28" s="972"/>
      <c r="B28" s="999"/>
      <c r="C28" s="1000"/>
      <c r="D28" s="971"/>
      <c r="E28" s="897"/>
    </row>
    <row r="29" spans="1:7" x14ac:dyDescent="0.25">
      <c r="A29" s="972"/>
      <c r="B29" s="999"/>
      <c r="C29" s="1000"/>
      <c r="D29" s="971"/>
      <c r="E29" s="897"/>
    </row>
    <row r="30" spans="1:7" x14ac:dyDescent="0.25">
      <c r="A30" s="972"/>
      <c r="B30" s="999"/>
      <c r="C30" s="1000"/>
      <c r="D30" s="971"/>
      <c r="E30" s="897"/>
    </row>
    <row r="31" spans="1:7" x14ac:dyDescent="0.25">
      <c r="A31" s="972"/>
      <c r="B31" s="999"/>
      <c r="C31" s="1000"/>
      <c r="D31" s="971"/>
      <c r="E31" s="897"/>
    </row>
    <row r="32" spans="1:7" x14ac:dyDescent="0.25">
      <c r="A32" s="660" t="s">
        <v>0</v>
      </c>
      <c r="B32" s="661">
        <f>Apportion!F8</f>
        <v>1</v>
      </c>
      <c r="C32" s="662">
        <f>Apportion!G8</f>
        <v>0</v>
      </c>
      <c r="D32" s="663">
        <f>Apportion!F22</f>
        <v>1</v>
      </c>
      <c r="E32" s="664">
        <f>Apportion!G22</f>
        <v>0</v>
      </c>
    </row>
    <row r="33" spans="1:5" x14ac:dyDescent="0.25">
      <c r="A33" s="660" t="s">
        <v>1</v>
      </c>
      <c r="B33" s="661">
        <f>Apportion!F9</f>
        <v>0</v>
      </c>
      <c r="C33" s="662">
        <f>Apportion!G9</f>
        <v>1</v>
      </c>
      <c r="D33" s="663">
        <f>Apportion!F23</f>
        <v>0</v>
      </c>
      <c r="E33" s="664">
        <f>Apportion!G23</f>
        <v>1</v>
      </c>
    </row>
    <row r="34" spans="1:5" x14ac:dyDescent="0.25">
      <c r="A34" s="660" t="s">
        <v>2</v>
      </c>
      <c r="B34" s="661">
        <f>Apportion!F10</f>
        <v>0</v>
      </c>
      <c r="C34" s="662">
        <f>Apportion!G10</f>
        <v>1</v>
      </c>
      <c r="D34" s="663">
        <f>Apportion!F24</f>
        <v>0</v>
      </c>
      <c r="E34" s="664">
        <f>Apportion!G24</f>
        <v>1</v>
      </c>
    </row>
    <row r="35" spans="1:5" x14ac:dyDescent="0.25">
      <c r="A35" s="660" t="s">
        <v>3</v>
      </c>
      <c r="B35" s="661">
        <f>Apportion!F11</f>
        <v>0</v>
      </c>
      <c r="C35" s="662">
        <f>Apportion!G11</f>
        <v>1</v>
      </c>
      <c r="D35" s="663">
        <f>Apportion!F25</f>
        <v>0</v>
      </c>
      <c r="E35" s="664">
        <f>Apportion!G25</f>
        <v>1</v>
      </c>
    </row>
    <row r="36" spans="1:5" x14ac:dyDescent="0.25">
      <c r="A36" s="660" t="s">
        <v>4</v>
      </c>
      <c r="B36" s="661">
        <f>Apportion!F12</f>
        <v>0</v>
      </c>
      <c r="C36" s="662">
        <f>Apportion!G12</f>
        <v>1</v>
      </c>
      <c r="D36" s="663">
        <f>Apportion!F26</f>
        <v>0</v>
      </c>
      <c r="E36" s="664">
        <f>Apportion!G26</f>
        <v>1</v>
      </c>
    </row>
    <row r="37" spans="1:5" x14ac:dyDescent="0.25">
      <c r="A37" s="660" t="s">
        <v>5</v>
      </c>
      <c r="B37" s="661">
        <f>Apportion!F13</f>
        <v>0</v>
      </c>
      <c r="C37" s="662">
        <f>Apportion!G13</f>
        <v>1</v>
      </c>
      <c r="D37" s="663">
        <f>Apportion!F27</f>
        <v>0</v>
      </c>
      <c r="E37" s="664">
        <f>Apportion!G27</f>
        <v>1</v>
      </c>
    </row>
    <row r="38" spans="1:5" x14ac:dyDescent="0.25">
      <c r="A38" s="660" t="s">
        <v>530</v>
      </c>
      <c r="B38" s="665"/>
      <c r="C38" s="666"/>
      <c r="D38" s="663">
        <f>Apportion!F28</f>
        <v>0</v>
      </c>
      <c r="E38" s="664">
        <f>Apportion!G28</f>
        <v>1</v>
      </c>
    </row>
    <row r="39" spans="1:5" x14ac:dyDescent="0.25">
      <c r="A39" s="660" t="s">
        <v>531</v>
      </c>
      <c r="B39" s="665"/>
      <c r="C39" s="666"/>
      <c r="D39" s="663">
        <f>Apportion!F29</f>
        <v>0</v>
      </c>
      <c r="E39" s="664">
        <f>Apportion!G29</f>
        <v>1</v>
      </c>
    </row>
    <row r="40" spans="1:5" x14ac:dyDescent="0.25">
      <c r="A40" s="660" t="s">
        <v>558</v>
      </c>
      <c r="B40" s="665"/>
      <c r="C40" s="666"/>
      <c r="D40" s="663">
        <f>Apportion!F30</f>
        <v>0</v>
      </c>
      <c r="E40" s="664">
        <f>Apportion!G30</f>
        <v>1</v>
      </c>
    </row>
    <row r="41" spans="1:5" x14ac:dyDescent="0.25">
      <c r="A41" s="660" t="s">
        <v>559</v>
      </c>
      <c r="B41" s="665"/>
      <c r="C41" s="666"/>
      <c r="D41" s="663">
        <f>Apportion!F31</f>
        <v>0</v>
      </c>
      <c r="E41" s="664">
        <f>Apportion!G31</f>
        <v>1</v>
      </c>
    </row>
    <row r="43" spans="1:5" x14ac:dyDescent="0.25">
      <c r="A43" s="659" t="s">
        <v>788</v>
      </c>
      <c r="B43" s="1002" t="s">
        <v>892</v>
      </c>
      <c r="C43" s="1003"/>
      <c r="D43" s="1004" t="s">
        <v>253</v>
      </c>
      <c r="E43" s="1005"/>
    </row>
    <row r="44" spans="1:5" x14ac:dyDescent="0.25">
      <c r="A44" s="972" t="s">
        <v>59</v>
      </c>
      <c r="B44" s="999" t="s">
        <v>10</v>
      </c>
      <c r="C44" s="1000" t="s">
        <v>11</v>
      </c>
      <c r="D44" s="971" t="s">
        <v>10</v>
      </c>
      <c r="E44" s="897" t="s">
        <v>11</v>
      </c>
    </row>
    <row r="45" spans="1:5" x14ac:dyDescent="0.25">
      <c r="A45" s="972"/>
      <c r="B45" s="999"/>
      <c r="C45" s="1000"/>
      <c r="D45" s="971"/>
      <c r="E45" s="897"/>
    </row>
    <row r="46" spans="1:5" x14ac:dyDescent="0.25">
      <c r="A46" s="972"/>
      <c r="B46" s="999"/>
      <c r="C46" s="1000"/>
      <c r="D46" s="971"/>
      <c r="E46" s="897"/>
    </row>
    <row r="47" spans="1:5" x14ac:dyDescent="0.25">
      <c r="A47" s="972"/>
      <c r="B47" s="999"/>
      <c r="C47" s="1000"/>
      <c r="D47" s="971"/>
      <c r="E47" s="897"/>
    </row>
    <row r="48" spans="1:5" x14ac:dyDescent="0.25">
      <c r="A48" s="972"/>
      <c r="B48" s="999"/>
      <c r="C48" s="1000"/>
      <c r="D48" s="971"/>
      <c r="E48" s="897"/>
    </row>
    <row r="49" spans="1:9" x14ac:dyDescent="0.25">
      <c r="A49" s="660" t="s">
        <v>0</v>
      </c>
      <c r="B49" s="667">
        <f>Apportion!H8</f>
        <v>0</v>
      </c>
      <c r="C49" s="668">
        <f>Apportion!I8</f>
        <v>1</v>
      </c>
      <c r="D49" s="663">
        <f>Apportion!H22</f>
        <v>0</v>
      </c>
      <c r="E49" s="664">
        <f>Apportion!I22</f>
        <v>1</v>
      </c>
    </row>
    <row r="50" spans="1:9" x14ac:dyDescent="0.25">
      <c r="A50" s="660" t="s">
        <v>1</v>
      </c>
      <c r="B50" s="667">
        <f>Apportion!H9</f>
        <v>0</v>
      </c>
      <c r="C50" s="668">
        <f>Apportion!I9</f>
        <v>1</v>
      </c>
      <c r="D50" s="663">
        <f>Apportion!H23</f>
        <v>0</v>
      </c>
      <c r="E50" s="664">
        <f>Apportion!I23</f>
        <v>1</v>
      </c>
    </row>
    <row r="51" spans="1:9" x14ac:dyDescent="0.25">
      <c r="A51" s="660" t="s">
        <v>2</v>
      </c>
      <c r="B51" s="667">
        <f>Apportion!H10</f>
        <v>1</v>
      </c>
      <c r="C51" s="668">
        <f>Apportion!I10</f>
        <v>0</v>
      </c>
      <c r="D51" s="663">
        <f>Apportion!H24</f>
        <v>1</v>
      </c>
      <c r="E51" s="664">
        <f>Apportion!I24</f>
        <v>0</v>
      </c>
    </row>
    <row r="52" spans="1:9" x14ac:dyDescent="0.25">
      <c r="A52" s="660" t="s">
        <v>3</v>
      </c>
      <c r="B52" s="667">
        <f>Apportion!H11</f>
        <v>0</v>
      </c>
      <c r="C52" s="668">
        <f>Apportion!I11</f>
        <v>1</v>
      </c>
      <c r="D52" s="663">
        <f>Apportion!H25</f>
        <v>0</v>
      </c>
      <c r="E52" s="664">
        <f>Apportion!I25</f>
        <v>1</v>
      </c>
    </row>
    <row r="53" spans="1:9" x14ac:dyDescent="0.25">
      <c r="A53" s="660" t="s">
        <v>4</v>
      </c>
      <c r="B53" s="667">
        <f>Apportion!H12</f>
        <v>0</v>
      </c>
      <c r="C53" s="668">
        <f>Apportion!I12</f>
        <v>1</v>
      </c>
      <c r="D53" s="663">
        <f>Apportion!H26</f>
        <v>0</v>
      </c>
      <c r="E53" s="664">
        <f>Apportion!I26</f>
        <v>1</v>
      </c>
    </row>
    <row r="54" spans="1:9" x14ac:dyDescent="0.25">
      <c r="A54" s="660" t="s">
        <v>5</v>
      </c>
      <c r="B54" s="667">
        <f>Apportion!H13</f>
        <v>0</v>
      </c>
      <c r="C54" s="668">
        <f>Apportion!I13</f>
        <v>1</v>
      </c>
      <c r="D54" s="663">
        <f>Apportion!H27</f>
        <v>0</v>
      </c>
      <c r="E54" s="664">
        <f>Apportion!I27</f>
        <v>1</v>
      </c>
    </row>
    <row r="55" spans="1:9" x14ac:dyDescent="0.25">
      <c r="A55" s="660" t="s">
        <v>530</v>
      </c>
      <c r="B55" s="665"/>
      <c r="C55" s="666"/>
      <c r="D55" s="663">
        <f>Apportion!H28</f>
        <v>0</v>
      </c>
      <c r="E55" s="664">
        <f>Apportion!I28</f>
        <v>1</v>
      </c>
    </row>
    <row r="56" spans="1:9" x14ac:dyDescent="0.25">
      <c r="A56" s="660" t="s">
        <v>531</v>
      </c>
      <c r="B56" s="665"/>
      <c r="C56" s="666"/>
      <c r="D56" s="663">
        <f>Apportion!H29</f>
        <v>0</v>
      </c>
      <c r="E56" s="664">
        <f>Apportion!I29</f>
        <v>1</v>
      </c>
    </row>
    <row r="57" spans="1:9" x14ac:dyDescent="0.25">
      <c r="A57" s="660" t="s">
        <v>558</v>
      </c>
      <c r="B57" s="665"/>
      <c r="C57" s="666"/>
      <c r="D57" s="663">
        <f>Apportion!H30</f>
        <v>0</v>
      </c>
      <c r="E57" s="664">
        <f>Apportion!I30</f>
        <v>1</v>
      </c>
    </row>
    <row r="58" spans="1:9" x14ac:dyDescent="0.25">
      <c r="A58" s="660" t="s">
        <v>559</v>
      </c>
      <c r="B58" s="665"/>
      <c r="C58" s="666"/>
      <c r="D58" s="663">
        <f>Apportion!H31</f>
        <v>0</v>
      </c>
      <c r="E58" s="664">
        <f>Apportion!I31</f>
        <v>1</v>
      </c>
    </row>
    <row r="60" spans="1:9" ht="30" customHeight="1" x14ac:dyDescent="0.25">
      <c r="A60" s="669"/>
      <c r="B60" s="970" t="s">
        <v>285</v>
      </c>
      <c r="C60" s="995"/>
      <c r="D60" s="995"/>
      <c r="E60" s="996"/>
      <c r="F60" s="994" t="s">
        <v>286</v>
      </c>
      <c r="G60" s="995"/>
      <c r="H60" s="995"/>
      <c r="I60" s="971"/>
    </row>
    <row r="61" spans="1:9" ht="15" customHeight="1" x14ac:dyDescent="0.25">
      <c r="A61" s="670"/>
      <c r="B61" s="970" t="s">
        <v>892</v>
      </c>
      <c r="C61" s="971"/>
      <c r="D61" s="970" t="s">
        <v>253</v>
      </c>
      <c r="E61" s="996"/>
      <c r="F61" s="970" t="s">
        <v>892</v>
      </c>
      <c r="G61" s="971"/>
      <c r="H61" s="970" t="s">
        <v>253</v>
      </c>
      <c r="I61" s="971"/>
    </row>
    <row r="62" spans="1:9" x14ac:dyDescent="0.25">
      <c r="A62" s="671" t="s">
        <v>293</v>
      </c>
      <c r="B62" s="273" t="s">
        <v>283</v>
      </c>
      <c r="C62" s="273" t="s">
        <v>284</v>
      </c>
      <c r="D62" s="273" t="s">
        <v>283</v>
      </c>
      <c r="E62" s="281" t="s">
        <v>284</v>
      </c>
      <c r="F62" s="282" t="s">
        <v>283</v>
      </c>
      <c r="G62" s="273" t="s">
        <v>284</v>
      </c>
      <c r="H62" s="273" t="s">
        <v>283</v>
      </c>
      <c r="I62" s="273" t="s">
        <v>284</v>
      </c>
    </row>
    <row r="63" spans="1:9" s="673" customFormat="1" x14ac:dyDescent="0.25">
      <c r="A63" s="672" t="s">
        <v>81</v>
      </c>
      <c r="B63" s="274"/>
      <c r="C63" s="274"/>
      <c r="D63" s="274"/>
      <c r="E63" s="274"/>
    </row>
    <row r="64" spans="1:9" x14ac:dyDescent="0.25">
      <c r="A64" s="674" t="s">
        <v>0</v>
      </c>
      <c r="B64" s="275">
        <f>'Vessel Visits'!P9</f>
        <v>59.641263084112154</v>
      </c>
      <c r="C64" s="275">
        <f>'Vessel Visits'!P20</f>
        <v>59.641263084112154</v>
      </c>
      <c r="D64" s="275">
        <f>'Vessel Visits'!Q9</f>
        <v>59.641263084112154</v>
      </c>
      <c r="E64" s="277">
        <f>'Vessel Visits'!Q20</f>
        <v>59.641263084112154</v>
      </c>
      <c r="F64" s="279">
        <f>'Vessel Visits'!O9</f>
        <v>0</v>
      </c>
      <c r="G64" s="275">
        <f>'Vessel Visits'!N20</f>
        <v>0</v>
      </c>
      <c r="H64" s="275">
        <f>'Vessel Visits'!O9</f>
        <v>0</v>
      </c>
      <c r="I64" s="275">
        <f>'Vessel Visits'!N20</f>
        <v>0</v>
      </c>
    </row>
    <row r="65" spans="1:9" x14ac:dyDescent="0.25">
      <c r="A65" s="674" t="s">
        <v>1</v>
      </c>
      <c r="B65" s="275">
        <f>'Vessel Visits'!P10</f>
        <v>17.581057476635515</v>
      </c>
      <c r="C65" s="275">
        <f>'Vessel Visits'!P21</f>
        <v>17.581057476635515</v>
      </c>
      <c r="D65" s="275">
        <f>'Vessel Visits'!Q10</f>
        <v>27.581057476635515</v>
      </c>
      <c r="E65" s="277">
        <f>'Vessel Visits'!Q21</f>
        <v>27.581057476635515</v>
      </c>
      <c r="F65" s="279">
        <f>'Vessel Visits'!O10</f>
        <v>0</v>
      </c>
      <c r="G65" s="275">
        <f>'Vessel Visits'!N21</f>
        <v>0</v>
      </c>
      <c r="H65" s="275">
        <f>'Vessel Visits'!O10</f>
        <v>0</v>
      </c>
      <c r="I65" s="275">
        <f>'Vessel Visits'!N21</f>
        <v>0</v>
      </c>
    </row>
    <row r="66" spans="1:9" x14ac:dyDescent="0.25">
      <c r="A66" s="674" t="s">
        <v>2</v>
      </c>
      <c r="B66" s="275">
        <f>'Vessel Visits'!P11</f>
        <v>125.25956962616823</v>
      </c>
      <c r="C66" s="275">
        <f>'Vessel Visits'!P22</f>
        <v>125.25956962616823</v>
      </c>
      <c r="D66" s="275">
        <f>'Vessel Visits'!Q11</f>
        <v>125.25956962616823</v>
      </c>
      <c r="E66" s="277">
        <f>'Vessel Visits'!Q22</f>
        <v>125.25956962616823</v>
      </c>
      <c r="F66" s="279">
        <f>'Vessel Visits'!O11</f>
        <v>0</v>
      </c>
      <c r="G66" s="275">
        <f>'Vessel Visits'!N22</f>
        <v>29.439569626168236</v>
      </c>
      <c r="H66" s="275">
        <f>'Vessel Visits'!O11</f>
        <v>0</v>
      </c>
      <c r="I66" s="275">
        <f>'Vessel Visits'!N22</f>
        <v>29.439569626168236</v>
      </c>
    </row>
    <row r="67" spans="1:9" x14ac:dyDescent="0.25">
      <c r="A67" s="674" t="s">
        <v>4</v>
      </c>
      <c r="B67" s="275">
        <f>'Vessel Visits'!P12</f>
        <v>0</v>
      </c>
      <c r="C67" s="275">
        <f>'Vessel Visits'!P23</f>
        <v>0</v>
      </c>
      <c r="D67" s="275">
        <f>'Vessel Visits'!Q12</f>
        <v>0</v>
      </c>
      <c r="E67" s="277">
        <f>'Vessel Visits'!Q23</f>
        <v>0</v>
      </c>
      <c r="F67" s="279">
        <f>'Vessel Visits'!O12</f>
        <v>0</v>
      </c>
      <c r="G67" s="275">
        <f>'Vessel Visits'!N23</f>
        <v>0</v>
      </c>
      <c r="H67" s="275">
        <f>'Vessel Visits'!O12</f>
        <v>0</v>
      </c>
      <c r="I67" s="275">
        <f>'Vessel Visits'!N23</f>
        <v>0</v>
      </c>
    </row>
    <row r="68" spans="1:9" ht="15.75" thickBot="1" x14ac:dyDescent="0.3">
      <c r="A68" s="675" t="s">
        <v>5</v>
      </c>
      <c r="B68" s="276">
        <f>'Vessel Visits'!P13</f>
        <v>0</v>
      </c>
      <c r="C68" s="276">
        <f>'Vessel Visits'!P24</f>
        <v>0</v>
      </c>
      <c r="D68" s="276">
        <f>'Vessel Visits'!Q13</f>
        <v>0</v>
      </c>
      <c r="E68" s="278">
        <f>'Vessel Visits'!Q24</f>
        <v>0</v>
      </c>
      <c r="F68" s="280">
        <f>'Vessel Visits'!O13</f>
        <v>0</v>
      </c>
      <c r="G68" s="276">
        <f>'Vessel Visits'!N24</f>
        <v>0</v>
      </c>
      <c r="H68" s="276">
        <f>'Vessel Visits'!O13</f>
        <v>0</v>
      </c>
      <c r="I68" s="276">
        <f>'Vessel Visits'!N24</f>
        <v>0</v>
      </c>
    </row>
    <row r="69" spans="1:9" s="133" customFormat="1" ht="15.75" thickTop="1" x14ac:dyDescent="0.25">
      <c r="A69" s="676" t="s">
        <v>75</v>
      </c>
      <c r="B69" s="677">
        <f>SUM(B64:B68)</f>
        <v>202.4818901869159</v>
      </c>
      <c r="C69" s="677">
        <f>SUM(C64:C68)</f>
        <v>202.4818901869159</v>
      </c>
      <c r="D69" s="677">
        <f t="shared" ref="D69:E69" si="0">SUM(D64:D68)</f>
        <v>212.4818901869159</v>
      </c>
      <c r="E69" s="678">
        <f t="shared" si="0"/>
        <v>212.4818901869159</v>
      </c>
      <c r="F69" s="679">
        <f t="shared" ref="F69" si="1">SUM(F64:F68)</f>
        <v>0</v>
      </c>
      <c r="G69" s="677">
        <f t="shared" ref="G69" si="2">SUM(G64:G68)</f>
        <v>29.439569626168236</v>
      </c>
      <c r="H69" s="677">
        <f t="shared" ref="H69" si="3">SUM(H64:H68)</f>
        <v>0</v>
      </c>
      <c r="I69" s="677">
        <f t="shared" ref="I69" si="4">SUM(I64:I68)</f>
        <v>29.439569626168236</v>
      </c>
    </row>
    <row r="70" spans="1:9" s="673" customFormat="1" x14ac:dyDescent="0.25">
      <c r="A70" s="672" t="s">
        <v>14</v>
      </c>
      <c r="B70" s="486"/>
      <c r="C70" s="486"/>
      <c r="D70" s="486"/>
      <c r="E70" s="486"/>
      <c r="F70" s="486"/>
      <c r="G70" s="486"/>
      <c r="H70" s="486"/>
      <c r="I70" s="486"/>
    </row>
    <row r="71" spans="1:9" x14ac:dyDescent="0.25">
      <c r="A71" s="680" t="s">
        <v>293</v>
      </c>
      <c r="B71" s="273" t="s">
        <v>283</v>
      </c>
      <c r="C71" s="273" t="s">
        <v>284</v>
      </c>
      <c r="D71" s="273" t="s">
        <v>283</v>
      </c>
      <c r="E71" s="281" t="s">
        <v>284</v>
      </c>
      <c r="F71" s="282" t="s">
        <v>283</v>
      </c>
      <c r="G71" s="273" t="s">
        <v>284</v>
      </c>
      <c r="H71" s="273" t="s">
        <v>283</v>
      </c>
      <c r="I71" s="273" t="s">
        <v>284</v>
      </c>
    </row>
    <row r="72" spans="1:9" s="673" customFormat="1" x14ac:dyDescent="0.25">
      <c r="A72" s="674" t="s">
        <v>0</v>
      </c>
      <c r="B72" s="275">
        <f>'Vessel Visits'!$N60</f>
        <v>17.842339719626167</v>
      </c>
      <c r="C72" s="275">
        <f>'Vessel Visits'!$N70</f>
        <v>17.842339719626167</v>
      </c>
      <c r="D72" s="275">
        <f>'Vessel Visits'!$N60</f>
        <v>17.842339719626167</v>
      </c>
      <c r="E72" s="277">
        <f>'Vessel Visits'!$N70</f>
        <v>17.842339719626167</v>
      </c>
      <c r="F72" s="279">
        <f>'Vessel Visits'!M60</f>
        <v>7.7423397196261661</v>
      </c>
      <c r="G72" s="275">
        <f>'Vessel Visits'!M70</f>
        <v>11.782339719626169</v>
      </c>
      <c r="H72" s="275">
        <f>'Vessel Visits'!M60</f>
        <v>7.7423397196261661</v>
      </c>
      <c r="I72" s="275">
        <f>'Vessel Visits'!M70</f>
        <v>11.782339719626169</v>
      </c>
    </row>
    <row r="73" spans="1:9" s="673" customFormat="1" x14ac:dyDescent="0.25">
      <c r="A73" s="674" t="s">
        <v>1</v>
      </c>
      <c r="B73" s="275">
        <f>'Vessel Visits'!N61</f>
        <v>0</v>
      </c>
      <c r="C73" s="275">
        <f>'Vessel Visits'!N71</f>
        <v>0</v>
      </c>
      <c r="D73" s="275">
        <f>'Vessel Visits'!$N61</f>
        <v>0</v>
      </c>
      <c r="E73" s="277">
        <f>'Vessel Visits'!$N71</f>
        <v>0</v>
      </c>
      <c r="F73" s="279">
        <f>'Vessel Visits'!M61</f>
        <v>0</v>
      </c>
      <c r="G73" s="275">
        <f>'Vessel Visits'!M71</f>
        <v>0</v>
      </c>
      <c r="H73" s="275">
        <f>'Vessel Visits'!M61</f>
        <v>0</v>
      </c>
      <c r="I73" s="275">
        <f>'Vessel Visits'!M71</f>
        <v>0</v>
      </c>
    </row>
    <row r="74" spans="1:9" s="673" customFormat="1" x14ac:dyDescent="0.25">
      <c r="A74" s="674" t="s">
        <v>3</v>
      </c>
      <c r="B74" s="275">
        <f>'Vessel Visits'!N62</f>
        <v>24.665638785046728</v>
      </c>
      <c r="C74" s="275">
        <f>'Vessel Visits'!N72</f>
        <v>24.665638785046728</v>
      </c>
      <c r="D74" s="275">
        <f>'Vessel Visits'!$N62</f>
        <v>24.665638785046728</v>
      </c>
      <c r="E74" s="277">
        <f>'Vessel Visits'!$N72</f>
        <v>24.665638785046728</v>
      </c>
      <c r="F74" s="279">
        <f>'Vessel Visits'!M62</f>
        <v>16.56563878504673</v>
      </c>
      <c r="G74" s="275">
        <f>'Vessel Visits'!M72</f>
        <v>19.805638785046732</v>
      </c>
      <c r="H74" s="275">
        <f>'Vessel Visits'!M62</f>
        <v>16.56563878504673</v>
      </c>
      <c r="I74" s="275">
        <f>'Vessel Visits'!M72</f>
        <v>19.805638785046732</v>
      </c>
    </row>
    <row r="75" spans="1:9" s="673" customFormat="1" ht="15.75" thickBot="1" x14ac:dyDescent="0.3">
      <c r="A75" s="675" t="s">
        <v>4</v>
      </c>
      <c r="B75" s="276">
        <f>'Vessel Visits'!N63</f>
        <v>12.336319158878505</v>
      </c>
      <c r="C75" s="276">
        <f>'Vessel Visits'!N73</f>
        <v>12.336319158878505</v>
      </c>
      <c r="D75" s="276">
        <f>'Vessel Visits'!$N63</f>
        <v>12.336319158878505</v>
      </c>
      <c r="E75" s="278">
        <f>'Vessel Visits'!$N73</f>
        <v>12.336319158878505</v>
      </c>
      <c r="F75" s="280">
        <f>'Vessel Visits'!M63</f>
        <v>3.4363191588785043</v>
      </c>
      <c r="G75" s="276">
        <f>'Vessel Visits'!M73</f>
        <v>6.9963191588785048</v>
      </c>
      <c r="H75" s="276">
        <f>'Vessel Visits'!M63</f>
        <v>3.4363191588785043</v>
      </c>
      <c r="I75" s="276">
        <f>'Vessel Visits'!M73</f>
        <v>6.9963191588785048</v>
      </c>
    </row>
    <row r="76" spans="1:9" s="133" customFormat="1" ht="15.75" thickTop="1" x14ac:dyDescent="0.25">
      <c r="A76" s="681" t="s">
        <v>75</v>
      </c>
      <c r="B76" s="682">
        <f>SUM(B72:B75)</f>
        <v>54.844297663551394</v>
      </c>
      <c r="C76" s="682">
        <f>SUM(C72:C75)</f>
        <v>54.844297663551394</v>
      </c>
      <c r="D76" s="682">
        <f t="shared" ref="D76:E76" si="5">SUM(D72:D75)</f>
        <v>54.844297663551394</v>
      </c>
      <c r="E76" s="683">
        <f t="shared" si="5"/>
        <v>54.844297663551394</v>
      </c>
      <c r="F76" s="684">
        <f t="shared" ref="F76" si="6">SUM(F72:F75)</f>
        <v>27.7442976635514</v>
      </c>
      <c r="G76" s="682">
        <f t="shared" ref="G76" si="7">SUM(G72:G75)</f>
        <v>38.584297663551403</v>
      </c>
      <c r="H76" s="682">
        <f t="shared" ref="H76" si="8">SUM(H72:H75)</f>
        <v>27.7442976635514</v>
      </c>
      <c r="I76" s="682">
        <f t="shared" ref="I76" si="9">SUM(I72:I75)</f>
        <v>38.584297663551403</v>
      </c>
    </row>
    <row r="77" spans="1:9" s="673" customFormat="1" x14ac:dyDescent="0.25">
      <c r="A77" s="672" t="s">
        <v>822</v>
      </c>
      <c r="B77" s="486"/>
      <c r="C77" s="486"/>
      <c r="D77" s="486"/>
      <c r="E77" s="486"/>
      <c r="F77" s="486"/>
      <c r="G77" s="486"/>
      <c r="H77" s="486"/>
      <c r="I77" s="486"/>
    </row>
    <row r="78" spans="1:9" x14ac:dyDescent="0.25">
      <c r="A78" s="680" t="s">
        <v>293</v>
      </c>
      <c r="B78" s="685"/>
      <c r="C78" s="685"/>
      <c r="D78" s="273">
        <v>2025</v>
      </c>
      <c r="E78" s="281" t="s">
        <v>290</v>
      </c>
      <c r="F78" s="686"/>
      <c r="G78" s="685"/>
      <c r="H78" s="273">
        <v>2025</v>
      </c>
      <c r="I78" s="273" t="s">
        <v>290</v>
      </c>
    </row>
    <row r="79" spans="1:9" s="133" customFormat="1" x14ac:dyDescent="0.25">
      <c r="A79" s="674" t="s">
        <v>0</v>
      </c>
      <c r="B79" s="685"/>
      <c r="C79" s="685"/>
      <c r="D79" s="653">
        <f>'Vessel Visits'!N100</f>
        <v>90.13049439252336</v>
      </c>
      <c r="E79" s="687">
        <f>'Vessel Visits'!N113</f>
        <v>90.13049439252336</v>
      </c>
      <c r="F79" s="686"/>
      <c r="G79" s="685"/>
      <c r="H79" s="653">
        <f>'Vessel Visits'!M100</f>
        <v>80.730494392523369</v>
      </c>
      <c r="I79" s="653">
        <f>'Vessel Visits'!M113</f>
        <v>84.49049439252336</v>
      </c>
    </row>
    <row r="80" spans="1:9" s="133" customFormat="1" x14ac:dyDescent="0.25">
      <c r="A80" s="674" t="s">
        <v>1</v>
      </c>
      <c r="B80" s="685"/>
      <c r="C80" s="685"/>
      <c r="D80" s="653">
        <f>'Vessel Visits'!N101</f>
        <v>202.31419485981309</v>
      </c>
      <c r="E80" s="687">
        <f>'Vessel Visits'!N114</f>
        <v>202.31419485981309</v>
      </c>
      <c r="F80" s="686"/>
      <c r="G80" s="685"/>
      <c r="H80" s="653">
        <f>'Vessel Visits'!M101</f>
        <v>181.21419485981309</v>
      </c>
      <c r="I80" s="653">
        <f>'Vessel Visits'!M114</f>
        <v>189.65419485981309</v>
      </c>
    </row>
    <row r="81" spans="1:12" s="133" customFormat="1" x14ac:dyDescent="0.25">
      <c r="A81" s="674" t="s">
        <v>3</v>
      </c>
      <c r="B81" s="685"/>
      <c r="C81" s="685"/>
      <c r="D81" s="653">
        <f>'Vessel Visits'!N102</f>
        <v>24.929711214953272</v>
      </c>
      <c r="E81" s="687">
        <f>'Vessel Visits'!N115</f>
        <v>24.929711214953272</v>
      </c>
      <c r="F81" s="686"/>
      <c r="G81" s="685"/>
      <c r="H81" s="653">
        <f>'Vessel Visits'!M102</f>
        <v>22.329711214953271</v>
      </c>
      <c r="I81" s="653">
        <f>'Vessel Visits'!M115</f>
        <v>23.36971121495327</v>
      </c>
    </row>
    <row r="82" spans="1:12" s="133" customFormat="1" x14ac:dyDescent="0.25">
      <c r="A82" s="674" t="s">
        <v>4</v>
      </c>
      <c r="B82" s="685"/>
      <c r="C82" s="685"/>
      <c r="D82" s="653">
        <f>'Vessel Visits'!N103</f>
        <v>242.5852668224299</v>
      </c>
      <c r="E82" s="687">
        <f>'Vessel Visits'!N116</f>
        <v>242.5852668224299</v>
      </c>
      <c r="F82" s="686"/>
      <c r="G82" s="685"/>
      <c r="H82" s="653">
        <f>'Vessel Visits'!M103</f>
        <v>217.28526682242992</v>
      </c>
      <c r="I82" s="653">
        <f>'Vessel Visits'!M116</f>
        <v>227.40526682242989</v>
      </c>
    </row>
    <row r="83" spans="1:12" s="133" customFormat="1" x14ac:dyDescent="0.25">
      <c r="A83" s="674" t="s">
        <v>5</v>
      </c>
      <c r="B83" s="685"/>
      <c r="C83" s="685"/>
      <c r="D83" s="653">
        <f>'Vessel Visits'!N104</f>
        <v>230.12041121495326</v>
      </c>
      <c r="E83" s="687">
        <f>'Vessel Visits'!N117</f>
        <v>230.12041121495326</v>
      </c>
      <c r="F83" s="686"/>
      <c r="G83" s="685"/>
      <c r="H83" s="653">
        <f>'Vessel Visits'!M104</f>
        <v>206.12041121495326</v>
      </c>
      <c r="I83" s="653">
        <f>'Vessel Visits'!M117</f>
        <v>215.72041121495329</v>
      </c>
    </row>
    <row r="84" spans="1:12" s="133" customFormat="1" x14ac:dyDescent="0.25">
      <c r="A84" s="674" t="s">
        <v>531</v>
      </c>
      <c r="B84" s="685"/>
      <c r="C84" s="685"/>
      <c r="D84" s="653">
        <f>'Vessel Visits'!N105</f>
        <v>68.077288317757009</v>
      </c>
      <c r="E84" s="687">
        <f>'Vessel Visits'!N118</f>
        <v>68.077288317757009</v>
      </c>
      <c r="F84" s="686"/>
      <c r="G84" s="685"/>
      <c r="H84" s="653">
        <f>'Vessel Visits'!M105</f>
        <v>60.977288317757008</v>
      </c>
      <c r="I84" s="653">
        <f>'Vessel Visits'!M118</f>
        <v>63.817288317757011</v>
      </c>
    </row>
    <row r="85" spans="1:12" s="133" customFormat="1" ht="15.75" thickBot="1" x14ac:dyDescent="0.3">
      <c r="A85" s="675" t="s">
        <v>558</v>
      </c>
      <c r="B85" s="688"/>
      <c r="C85" s="688"/>
      <c r="D85" s="689">
        <f>'Vessel Visits'!N106</f>
        <v>116.97787570093458</v>
      </c>
      <c r="E85" s="690">
        <f>'Vessel Visits'!N119</f>
        <v>116.97787570093458</v>
      </c>
      <c r="F85" s="691"/>
      <c r="G85" s="688"/>
      <c r="H85" s="689">
        <f>'Vessel Visits'!M106</f>
        <v>104.77787570093457</v>
      </c>
      <c r="I85" s="689">
        <f>'Vessel Visits'!M119</f>
        <v>109.65787570093458</v>
      </c>
    </row>
    <row r="86" spans="1:12" s="133" customFormat="1" ht="15.75" thickTop="1" x14ac:dyDescent="0.25">
      <c r="A86" s="681" t="s">
        <v>75</v>
      </c>
      <c r="B86" s="692"/>
      <c r="C86" s="692"/>
      <c r="D86" s="677">
        <f t="shared" ref="D86:E86" si="10">SUM(D79:D85)</f>
        <v>975.13524252336447</v>
      </c>
      <c r="E86" s="678">
        <f t="shared" si="10"/>
        <v>975.13524252336447</v>
      </c>
      <c r="F86" s="693"/>
      <c r="G86" s="692"/>
      <c r="H86" s="677">
        <f t="shared" ref="H86" si="11">SUM(H79:H85)</f>
        <v>873.43524252336454</v>
      </c>
      <c r="I86" s="677">
        <f t="shared" ref="I86" si="12">SUM(I79:I85)</f>
        <v>914.1152425233646</v>
      </c>
    </row>
    <row r="87" spans="1:12" s="673" customFormat="1" x14ac:dyDescent="0.25">
      <c r="A87" s="672" t="s">
        <v>520</v>
      </c>
      <c r="B87" s="486"/>
      <c r="C87" s="486"/>
      <c r="D87" s="486"/>
      <c r="E87" s="486"/>
      <c r="F87" s="486"/>
      <c r="G87" s="486"/>
      <c r="H87" s="486"/>
      <c r="I87" s="486"/>
    </row>
    <row r="88" spans="1:12" x14ac:dyDescent="0.25">
      <c r="A88" s="680" t="s">
        <v>293</v>
      </c>
      <c r="B88" s="685"/>
      <c r="C88" s="685"/>
      <c r="D88" s="273">
        <v>2027</v>
      </c>
      <c r="E88" s="281" t="s">
        <v>291</v>
      </c>
      <c r="F88" s="686"/>
      <c r="G88" s="685"/>
      <c r="H88" s="273">
        <v>2027</v>
      </c>
      <c r="I88" s="281" t="s">
        <v>291</v>
      </c>
    </row>
    <row r="89" spans="1:12" s="269" customFormat="1" x14ac:dyDescent="0.25">
      <c r="A89" s="321" t="s">
        <v>0</v>
      </c>
      <c r="B89" s="685"/>
      <c r="C89" s="685"/>
      <c r="D89" s="653">
        <f>'Vessel Visits'!M146</f>
        <v>178.97150987868284</v>
      </c>
      <c r="E89" s="687">
        <f>'Vessel Visits'!M154</f>
        <v>178.97150987868284</v>
      </c>
      <c r="F89" s="686"/>
      <c r="G89" s="685"/>
      <c r="H89" s="653">
        <f>'Vessel Visits'!L146</f>
        <v>160.27150987868285</v>
      </c>
      <c r="I89" s="653">
        <f>'Vessel Visits'!L154</f>
        <v>167.75150987868284</v>
      </c>
    </row>
    <row r="90" spans="1:12" s="269" customFormat="1" ht="15.75" thickBot="1" x14ac:dyDescent="0.3">
      <c r="A90" s="694" t="s">
        <v>1</v>
      </c>
      <c r="B90" s="688"/>
      <c r="C90" s="688"/>
      <c r="D90" s="689">
        <f>'Vessel Visits'!M147</f>
        <v>343.58701629116121</v>
      </c>
      <c r="E90" s="690">
        <f>'Vessel Visits'!M155</f>
        <v>343.58701629116121</v>
      </c>
      <c r="F90" s="691"/>
      <c r="G90" s="688"/>
      <c r="H90" s="689">
        <f>'Vessel Visits'!L147</f>
        <v>307.68701629116117</v>
      </c>
      <c r="I90" s="689">
        <f>'Vessel Visits'!L155</f>
        <v>322.04701629116119</v>
      </c>
    </row>
    <row r="91" spans="1:12" s="133" customFormat="1" ht="15.75" thickTop="1" x14ac:dyDescent="0.25">
      <c r="A91" s="695" t="s">
        <v>75</v>
      </c>
      <c r="B91" s="692"/>
      <c r="C91" s="692"/>
      <c r="D91" s="677">
        <f t="shared" ref="D91:E91" si="13">SUM(D89:D90)</f>
        <v>522.55852616984407</v>
      </c>
      <c r="E91" s="678">
        <f t="shared" si="13"/>
        <v>522.55852616984407</v>
      </c>
      <c r="F91" s="693"/>
      <c r="G91" s="692"/>
      <c r="H91" s="677">
        <f t="shared" ref="H91" si="14">SUM(H89:H90)</f>
        <v>467.95852616984405</v>
      </c>
      <c r="I91" s="677">
        <f t="shared" ref="I91" si="15">SUM(I89:I90)</f>
        <v>489.79852616984402</v>
      </c>
    </row>
    <row r="92" spans="1:12" s="673" customFormat="1" x14ac:dyDescent="0.25">
      <c r="A92" s="672" t="s">
        <v>566</v>
      </c>
      <c r="B92" s="274"/>
      <c r="C92" s="274"/>
      <c r="D92" s="274"/>
      <c r="E92" s="486"/>
      <c r="F92" s="486"/>
      <c r="G92" s="274"/>
      <c r="H92" s="274"/>
      <c r="I92" s="274"/>
    </row>
    <row r="93" spans="1:12" x14ac:dyDescent="0.25">
      <c r="A93" s="680" t="s">
        <v>293</v>
      </c>
      <c r="B93" s="685"/>
      <c r="C93" s="685"/>
      <c r="D93" s="273">
        <v>2029</v>
      </c>
      <c r="E93" s="281" t="s">
        <v>292</v>
      </c>
      <c r="F93" s="686"/>
      <c r="G93" s="685"/>
      <c r="H93" s="273">
        <v>2029</v>
      </c>
      <c r="I93" s="281" t="s">
        <v>292</v>
      </c>
    </row>
    <row r="94" spans="1:12" x14ac:dyDescent="0.25">
      <c r="A94" s="674" t="s">
        <v>530</v>
      </c>
      <c r="B94" s="685"/>
      <c r="C94" s="685"/>
      <c r="D94" s="653">
        <f>'Vessel Visits'!M180</f>
        <v>32.599200000000003</v>
      </c>
      <c r="E94" s="687">
        <f>'Vessel Visits'!M190</f>
        <v>32.599200000000003</v>
      </c>
      <c r="F94" s="686"/>
      <c r="G94" s="685"/>
      <c r="H94" s="653">
        <f>'Vessel Visits'!L180</f>
        <v>29.199199999999998</v>
      </c>
      <c r="I94" s="653">
        <f>'Vessel Visits'!L190</f>
        <v>30.559200000000001</v>
      </c>
    </row>
    <row r="95" spans="1:12" x14ac:dyDescent="0.25">
      <c r="A95" s="674" t="s">
        <v>531</v>
      </c>
      <c r="B95" s="685"/>
      <c r="C95" s="685"/>
      <c r="D95" s="653">
        <f>'Vessel Visits'!M181</f>
        <v>374.89080000000001</v>
      </c>
      <c r="E95" s="687">
        <f>'Vessel Visits'!M191</f>
        <v>374.89080000000001</v>
      </c>
      <c r="F95" s="686"/>
      <c r="G95" s="685"/>
      <c r="H95" s="653">
        <f>'Vessel Visits'!L181</f>
        <v>335.79079999999999</v>
      </c>
      <c r="I95" s="653">
        <f>'Vessel Visits'!L191</f>
        <v>351.43079999999998</v>
      </c>
      <c r="L95" s="696"/>
    </row>
    <row r="96" spans="1:12" x14ac:dyDescent="0.25">
      <c r="A96" s="674" t="s">
        <v>558</v>
      </c>
      <c r="B96" s="685"/>
      <c r="C96" s="685"/>
      <c r="D96" s="653">
        <f>'Vessel Visits'!M182</f>
        <v>231.07079999999999</v>
      </c>
      <c r="E96" s="687">
        <f>'Vessel Visits'!M192</f>
        <v>231.07079999999999</v>
      </c>
      <c r="F96" s="686"/>
      <c r="G96" s="685"/>
      <c r="H96" s="653">
        <f>'Vessel Visits'!L182</f>
        <v>206.9708</v>
      </c>
      <c r="I96" s="653">
        <f>'Vessel Visits'!L192</f>
        <v>216.61079999999998</v>
      </c>
      <c r="L96" s="697"/>
    </row>
    <row r="97" spans="1:15" ht="15.75" thickBot="1" x14ac:dyDescent="0.3">
      <c r="A97" s="675" t="s">
        <v>559</v>
      </c>
      <c r="B97" s="688"/>
      <c r="C97" s="688"/>
      <c r="D97" s="689">
        <f>'Vessel Visits'!M183</f>
        <v>103.5504</v>
      </c>
      <c r="E97" s="690">
        <f>'Vessel Visits'!M193</f>
        <v>103.5504</v>
      </c>
      <c r="F97" s="691"/>
      <c r="G97" s="688"/>
      <c r="H97" s="689">
        <f>'Vessel Visits'!L183</f>
        <v>92.750399999999999</v>
      </c>
      <c r="I97" s="689">
        <f>'Vessel Visits'!L193</f>
        <v>97.070400000000006</v>
      </c>
    </row>
    <row r="98" spans="1:15" s="133" customFormat="1" ht="15.75" thickTop="1" x14ac:dyDescent="0.25">
      <c r="A98" s="695" t="s">
        <v>75</v>
      </c>
      <c r="B98" s="692"/>
      <c r="C98" s="692"/>
      <c r="D98" s="677">
        <f t="shared" ref="D98:E98" si="16">SUM(D94:D97)</f>
        <v>742.11119999999994</v>
      </c>
      <c r="E98" s="678">
        <f t="shared" si="16"/>
        <v>742.11119999999994</v>
      </c>
      <c r="F98" s="693"/>
      <c r="G98" s="692"/>
      <c r="H98" s="677">
        <f t="shared" ref="H98" si="17">SUM(H94:H97)</f>
        <v>664.71120000000008</v>
      </c>
      <c r="I98" s="677">
        <f t="shared" ref="I98" si="18">SUM(I94:I97)</f>
        <v>695.6712</v>
      </c>
    </row>
    <row r="99" spans="1:15" s="269" customFormat="1" x14ac:dyDescent="0.25">
      <c r="A99" s="654"/>
    </row>
    <row r="100" spans="1:15" x14ac:dyDescent="0.25">
      <c r="A100" s="992" t="s">
        <v>304</v>
      </c>
      <c r="B100" s="993"/>
      <c r="C100" s="284" t="s">
        <v>15</v>
      </c>
      <c r="D100" s="265">
        <v>2021</v>
      </c>
      <c r="E100" s="265">
        <v>2022</v>
      </c>
      <c r="F100" s="265">
        <v>2023</v>
      </c>
      <c r="G100" s="265">
        <v>2024</v>
      </c>
      <c r="H100" s="265">
        <v>2025</v>
      </c>
      <c r="I100" s="265">
        <v>2026</v>
      </c>
      <c r="J100" s="265">
        <v>2027</v>
      </c>
      <c r="K100" s="265">
        <v>2028</v>
      </c>
      <c r="L100" s="265">
        <v>2029</v>
      </c>
      <c r="M100" s="265">
        <v>2030</v>
      </c>
      <c r="N100" s="265">
        <v>2031</v>
      </c>
      <c r="O100" s="265">
        <v>2032</v>
      </c>
    </row>
    <row r="101" spans="1:15" ht="30" customHeight="1" x14ac:dyDescent="0.25">
      <c r="A101" s="997" t="s">
        <v>591</v>
      </c>
      <c r="B101" s="998"/>
      <c r="C101" s="244" t="s">
        <v>47</v>
      </c>
      <c r="D101" s="270">
        <f>'Electricity &amp; Fuel'!$F43</f>
        <v>0.17695068176615891</v>
      </c>
      <c r="E101" s="270">
        <f>'Electricity &amp; Fuel'!$F44</f>
        <v>0.17538782490681984</v>
      </c>
      <c r="F101" s="270">
        <f>'Electricity &amp; Fuel'!$F45</f>
        <v>0.17629833319998378</v>
      </c>
      <c r="G101" s="270">
        <f>'Electricity &amp; Fuel'!$F46</f>
        <v>0.17724094244682223</v>
      </c>
      <c r="H101" s="270">
        <f>'Electricity &amp; Fuel'!$F47</f>
        <v>0.17915150226602261</v>
      </c>
      <c r="I101" s="270">
        <f>'Electricity &amp; Fuel'!$F48</f>
        <v>0.17883741063463929</v>
      </c>
      <c r="J101" s="270">
        <f>'Electricity &amp; Fuel'!$F49</f>
        <v>0.17936464647208561</v>
      </c>
      <c r="K101" s="270">
        <f>'Electricity &amp; Fuel'!$F50</f>
        <v>0.1804344307150883</v>
      </c>
      <c r="L101" s="270">
        <f>'Electricity &amp; Fuel'!$F51</f>
        <v>0.18260285180883787</v>
      </c>
      <c r="M101" s="270">
        <f>'Electricity &amp; Fuel'!$F52</f>
        <v>0.1846990110204377</v>
      </c>
      <c r="N101" s="270">
        <f>'Electricity &amp; Fuel'!$F53</f>
        <v>0.18548682498832578</v>
      </c>
      <c r="O101" s="270">
        <f>'Electricity &amp; Fuel'!$F54</f>
        <v>0.18627463895621385</v>
      </c>
    </row>
    <row r="102" spans="1:15" x14ac:dyDescent="0.25">
      <c r="A102" s="976" t="s">
        <v>592</v>
      </c>
      <c r="B102" s="977"/>
      <c r="C102" s="244" t="s">
        <v>47</v>
      </c>
      <c r="D102" s="270">
        <f>'Electricity &amp; Fuel'!$B$61</f>
        <v>1.1599999999999999</v>
      </c>
      <c r="E102" s="270">
        <f>'Electricity &amp; Fuel'!$B$61</f>
        <v>1.1599999999999999</v>
      </c>
      <c r="F102" s="270">
        <f>'Electricity &amp; Fuel'!$B$61</f>
        <v>1.1599999999999999</v>
      </c>
      <c r="G102" s="270">
        <f>'Electricity &amp; Fuel'!$B$61</f>
        <v>1.1599999999999999</v>
      </c>
      <c r="H102" s="270">
        <f>'Electricity &amp; Fuel'!$B$61</f>
        <v>1.1599999999999999</v>
      </c>
      <c r="I102" s="270">
        <f>'Electricity &amp; Fuel'!$B$61</f>
        <v>1.1599999999999999</v>
      </c>
      <c r="J102" s="270">
        <f>'Electricity &amp; Fuel'!$B$61</f>
        <v>1.1599999999999999</v>
      </c>
      <c r="K102" s="270">
        <f>'Electricity &amp; Fuel'!$B$61</f>
        <v>1.1599999999999999</v>
      </c>
      <c r="L102" s="270">
        <f>'Electricity &amp; Fuel'!$B$61</f>
        <v>1.1599999999999999</v>
      </c>
      <c r="M102" s="270">
        <f>'Electricity &amp; Fuel'!$B$61</f>
        <v>1.1599999999999999</v>
      </c>
      <c r="N102" s="270">
        <f>'Electricity &amp; Fuel'!$B$61</f>
        <v>1.1599999999999999</v>
      </c>
      <c r="O102" s="270">
        <f>'Electricity &amp; Fuel'!$B$61</f>
        <v>1.1599999999999999</v>
      </c>
    </row>
    <row r="103" spans="1:15" x14ac:dyDescent="0.25">
      <c r="A103" s="976" t="s">
        <v>276</v>
      </c>
      <c r="B103" s="977"/>
      <c r="C103" s="244" t="s">
        <v>46</v>
      </c>
      <c r="D103" s="271">
        <f>'Electricity &amp; Fuel'!$D102</f>
        <v>1192.7639484978542</v>
      </c>
      <c r="E103" s="271">
        <f>'Electricity &amp; Fuel'!$D103</f>
        <v>1241.9163090128759</v>
      </c>
      <c r="F103" s="271">
        <f>'Electricity &amp; Fuel'!$D104</f>
        <v>1294.3454935622321</v>
      </c>
      <c r="G103" s="271">
        <f>'Electricity &amp; Fuel'!$D105</f>
        <v>1359.8819742489275</v>
      </c>
      <c r="H103" s="271">
        <f>'Electricity &amp; Fuel'!$D106</f>
        <v>1409.0343347639487</v>
      </c>
      <c r="I103" s="271">
        <f>'Electricity &amp; Fuel'!$D107</f>
        <v>1445.0793991416313</v>
      </c>
      <c r="J103" s="271">
        <f>'Electricity &amp; Fuel'!$D108</f>
        <v>1494.2317596566525</v>
      </c>
      <c r="K103" s="271">
        <f>'Electricity &amp; Fuel'!$D109</f>
        <v>1546.6609442060089</v>
      </c>
      <c r="L103" s="271">
        <f>'Electricity &amp; Fuel'!$D110</f>
        <v>1602.3669527897</v>
      </c>
      <c r="M103" s="271">
        <f>'Electricity &amp; Fuel'!$D111</f>
        <v>1648.2424892703871</v>
      </c>
      <c r="N103" s="271">
        <f>'Electricity &amp; Fuel'!$D112</f>
        <v>1707.225321888413</v>
      </c>
      <c r="O103" s="271">
        <f>'Electricity &amp; Fuel'!$D113</f>
        <v>1753.1008583690993</v>
      </c>
    </row>
    <row r="104" spans="1:15" x14ac:dyDescent="0.25">
      <c r="A104" s="976" t="s">
        <v>303</v>
      </c>
      <c r="B104" s="977"/>
      <c r="C104" s="244" t="s">
        <v>47</v>
      </c>
      <c r="D104" s="270">
        <f>'Electricity &amp; Fuel'!B69</f>
        <v>0.10742668569259947</v>
      </c>
      <c r="E104" s="270">
        <f>'Electricity &amp; Fuel'!B70</f>
        <v>0.10633355805511226</v>
      </c>
      <c r="F104" s="270">
        <f>'Electricity &amp; Fuel'!B71</f>
        <v>0.10560685195285498</v>
      </c>
      <c r="G104" s="270">
        <f>'Electricity &amp; Fuel'!B72</f>
        <v>0.10489102848205996</v>
      </c>
      <c r="H104" s="270">
        <f>'Electricity &amp; Fuel'!B73</f>
        <v>9.9781422960452767E-2</v>
      </c>
      <c r="I104" s="270">
        <f>'Electricity &amp; Fuel'!B74</f>
        <v>0.10076410255793643</v>
      </c>
      <c r="J104" s="270">
        <f>'Electricity &amp; Fuel'!B75</f>
        <v>0.10200827198772901</v>
      </c>
      <c r="K104" s="270">
        <f>'Electricity &amp; Fuel'!B76</f>
        <v>0.10314853595703005</v>
      </c>
      <c r="L104" s="270">
        <f>'Electricity &amp; Fuel'!B77</f>
        <v>0.10442598177571655</v>
      </c>
      <c r="M104" s="270">
        <f>'Electricity &amp; Fuel'!B78</f>
        <v>0.10556652073578138</v>
      </c>
      <c r="N104" s="270">
        <f>'Electricity &amp; Fuel'!B79</f>
        <v>0.10753395574057938</v>
      </c>
      <c r="O104" s="270">
        <f>'Electricity &amp; Fuel'!B80</f>
        <v>0.1095013907453774</v>
      </c>
    </row>
    <row r="105" spans="1:15" x14ac:dyDescent="0.25">
      <c r="A105" s="976" t="s">
        <v>232</v>
      </c>
      <c r="B105" s="977"/>
      <c r="C105" s="244" t="s">
        <v>27</v>
      </c>
      <c r="D105" s="272">
        <f>Growth!$F10</f>
        <v>0.19385114943417511</v>
      </c>
      <c r="E105" s="272">
        <f>Growth!$F11</f>
        <v>0.23786367889837565</v>
      </c>
      <c r="F105" s="272">
        <f>Growth!$F12</f>
        <v>0.28465423170158566</v>
      </c>
      <c r="G105" s="272">
        <f>Growth!$F13</f>
        <v>0.33429164292179847</v>
      </c>
      <c r="H105" s="272">
        <f>Growth!$F14</f>
        <v>0.41005488530447487</v>
      </c>
      <c r="I105" s="272">
        <f>Growth!$F15</f>
        <v>0.44448774785521072</v>
      </c>
      <c r="J105" s="272">
        <f>Growth!$F16</f>
        <v>0.48217019049045101</v>
      </c>
      <c r="K105" s="272">
        <f>Growth!$F17</f>
        <v>0.5230248906889251</v>
      </c>
      <c r="L105" s="272">
        <f>Growth!$F18</f>
        <v>0.56700845918311726</v>
      </c>
      <c r="M105" s="272">
        <f>Growth!$F19</f>
        <v>0.61410530272263486</v>
      </c>
      <c r="N105" s="272">
        <f>Growth!$F20</f>
        <v>0.69124079785891168</v>
      </c>
      <c r="O105" s="272">
        <f>Growth!$F21</f>
        <v>0.77207653050777736</v>
      </c>
    </row>
    <row r="106" spans="1:15" x14ac:dyDescent="0.25">
      <c r="A106" s="976" t="s">
        <v>233</v>
      </c>
      <c r="B106" s="977"/>
      <c r="C106" s="244" t="s">
        <v>27</v>
      </c>
      <c r="D106" s="272">
        <f>Growth!$G10</f>
        <v>0.20229643347303783</v>
      </c>
      <c r="E106" s="272">
        <f>Growth!$G11</f>
        <v>0.24654935829988212</v>
      </c>
      <c r="F106" s="272">
        <f>Growth!$G12</f>
        <v>0.29243110053082899</v>
      </c>
      <c r="G106" s="272">
        <f>Growth!$G13</f>
        <v>0.34000161204806295</v>
      </c>
      <c r="H106" s="272">
        <f>Growth!$G14</f>
        <v>0.38932305138271844</v>
      </c>
      <c r="I106" s="272">
        <f>Growth!$G15</f>
        <v>0.44045986493496619</v>
      </c>
      <c r="J106" s="272">
        <f>Growth!$G16</f>
        <v>0.4934788711836221</v>
      </c>
      <c r="K106" s="272">
        <f>Growth!$G17</f>
        <v>0.548449347995285</v>
      </c>
      <c r="L106" s="272">
        <f>Growth!$G18</f>
        <v>0.60544312314694371</v>
      </c>
      <c r="M106" s="272">
        <f>Growth!$G19</f>
        <v>0.66453466818061258</v>
      </c>
      <c r="N106" s="272">
        <f>Growth!$G20</f>
        <v>0.7258011957123357</v>
      </c>
      <c r="O106" s="272">
        <f>Growth!$G21</f>
        <v>0.78932276032292392</v>
      </c>
    </row>
    <row r="107" spans="1:15" x14ac:dyDescent="0.25">
      <c r="A107" s="976" t="s">
        <v>847</v>
      </c>
      <c r="B107" s="977"/>
      <c r="C107" s="244" t="s">
        <v>27</v>
      </c>
      <c r="D107" s="272">
        <f>Growth!$H10</f>
        <v>0.15102739754508301</v>
      </c>
      <c r="E107" s="272">
        <f>Growth!$H11</f>
        <v>0.18440519556548982</v>
      </c>
      <c r="F107" s="272">
        <f>Growth!$H12</f>
        <v>0.21887580559911993</v>
      </c>
      <c r="G107" s="272">
        <f>Growth!$H13</f>
        <v>0.2544794366551939</v>
      </c>
      <c r="H107" s="272">
        <f>Growth!$H14</f>
        <v>0.29125791799611689</v>
      </c>
      <c r="I107" s="272">
        <f>Growth!$H15</f>
        <v>0.32914486406438159</v>
      </c>
      <c r="J107" s="272">
        <f>Growth!$H16</f>
        <v>0.35936354031630968</v>
      </c>
      <c r="K107" s="272">
        <f>Growth!$H17</f>
        <v>0.39027252206645779</v>
      </c>
      <c r="L107" s="272">
        <f>Growth!$H18</f>
        <v>0.42188765098325831</v>
      </c>
      <c r="M107" s="272">
        <f>Growth!$H19</f>
        <v>0.45422513389525299</v>
      </c>
      <c r="N107" s="272">
        <f>Growth!$H20</f>
        <v>0.48860137895136968</v>
      </c>
      <c r="O107" s="272">
        <f>Growth!$H21</f>
        <v>0.52279793624620852</v>
      </c>
    </row>
    <row r="108" spans="1:15" x14ac:dyDescent="0.25">
      <c r="A108" s="976" t="s">
        <v>234</v>
      </c>
      <c r="B108" s="977"/>
      <c r="C108" s="244" t="s">
        <v>27</v>
      </c>
      <c r="D108" s="272">
        <f>Growth!$I10</f>
        <v>2.6628462023319498E-2</v>
      </c>
      <c r="E108" s="272">
        <f>Growth!$I11</f>
        <v>3.4642567685373271E-2</v>
      </c>
      <c r="F108" s="272">
        <f>Growth!$I12</f>
        <v>4.2769630813193044E-2</v>
      </c>
      <c r="G108" s="272">
        <f>Growth!$I13</f>
        <v>5.1013291136714503E-2</v>
      </c>
      <c r="H108" s="272">
        <f>Growth!$I14</f>
        <v>5.9377352889062179E-2</v>
      </c>
      <c r="I108" s="272">
        <f>Growth!$I15</f>
        <v>7.0987745336126756E-2</v>
      </c>
      <c r="J108" s="272">
        <f>Growth!$I16</f>
        <v>8.2319423047410883E-2</v>
      </c>
      <c r="K108" s="272">
        <f>Growth!$I17</f>
        <v>9.3817950353126484E-2</v>
      </c>
      <c r="L108" s="272">
        <f>Growth!$I18</f>
        <v>0.10548686029160387</v>
      </c>
      <c r="M108" s="272">
        <f>Growth!$I19</f>
        <v>0.11732978702575415</v>
      </c>
      <c r="N108" s="272">
        <f>Growth!$I20</f>
        <v>0.13037367245195625</v>
      </c>
      <c r="O108" s="272">
        <f>Growth!$I21</f>
        <v>0.14323738568409056</v>
      </c>
    </row>
    <row r="109" spans="1:15" s="269" customFormat="1" x14ac:dyDescent="0.25">
      <c r="A109" s="654"/>
    </row>
    <row r="110" spans="1:15" ht="15.75" x14ac:dyDescent="0.25">
      <c r="A110" s="652" t="s">
        <v>261</v>
      </c>
    </row>
    <row r="111" spans="1:15" s="698" customFormat="1" ht="30" x14ac:dyDescent="0.25">
      <c r="A111" s="540" t="s">
        <v>893</v>
      </c>
      <c r="B111" s="540" t="s">
        <v>21</v>
      </c>
      <c r="C111" s="540" t="s">
        <v>77</v>
      </c>
      <c r="D111" s="181">
        <v>2021</v>
      </c>
      <c r="E111" s="181">
        <v>2022</v>
      </c>
      <c r="F111" s="181">
        <v>2023</v>
      </c>
      <c r="G111" s="181">
        <v>2024</v>
      </c>
      <c r="H111" s="181">
        <v>2025</v>
      </c>
      <c r="I111" s="181">
        <v>2026</v>
      </c>
      <c r="J111" s="181">
        <v>2027</v>
      </c>
      <c r="K111" s="181">
        <v>2028</v>
      </c>
      <c r="L111" s="181">
        <v>2029</v>
      </c>
      <c r="M111" s="181">
        <v>2030</v>
      </c>
      <c r="N111" s="181">
        <v>2031</v>
      </c>
      <c r="O111" s="181">
        <v>2032</v>
      </c>
    </row>
    <row r="112" spans="1:15" x14ac:dyDescent="0.25">
      <c r="A112" s="958" t="s">
        <v>277</v>
      </c>
      <c r="B112" s="982" t="s">
        <v>35</v>
      </c>
      <c r="C112" s="244" t="s">
        <v>81</v>
      </c>
      <c r="D112" s="631">
        <f>SUM($F$64:$F$65,$F$67:$F$68)*$C$8*$C$14*D$101*(1+D$105)</f>
        <v>0</v>
      </c>
      <c r="E112" s="631">
        <f>SUM($F$64:$F$65,$F$67:$F$68)*$C$8*$C$14*E$101*(1+E$105)</f>
        <v>0</v>
      </c>
      <c r="F112" s="631">
        <f>SUM($G$64:$G$65,$G$67:$G$68)*$C$8*$C$14*F$101*(1+F$105)</f>
        <v>0</v>
      </c>
      <c r="G112" s="631">
        <f t="shared" ref="G112:O112" si="19">SUM($G$64:$G$65,$G$67:$G$68)*$C$8*$C$14*G$101*(1+G$105)</f>
        <v>0</v>
      </c>
      <c r="H112" s="631">
        <f t="shared" si="19"/>
        <v>0</v>
      </c>
      <c r="I112" s="631">
        <f t="shared" si="19"/>
        <v>0</v>
      </c>
      <c r="J112" s="631">
        <f t="shared" si="19"/>
        <v>0</v>
      </c>
      <c r="K112" s="631">
        <f t="shared" si="19"/>
        <v>0</v>
      </c>
      <c r="L112" s="631">
        <f t="shared" si="19"/>
        <v>0</v>
      </c>
      <c r="M112" s="631">
        <f t="shared" si="19"/>
        <v>0</v>
      </c>
      <c r="N112" s="631">
        <f t="shared" si="19"/>
        <v>0</v>
      </c>
      <c r="O112" s="631">
        <f t="shared" si="19"/>
        <v>0</v>
      </c>
    </row>
    <row r="113" spans="1:15" ht="30" x14ac:dyDescent="0.25">
      <c r="A113" s="959"/>
      <c r="B113" s="983"/>
      <c r="C113" s="485" t="s">
        <v>593</v>
      </c>
      <c r="D113" s="631">
        <f>SUM($F$72:$F$74)*$C$9*$C$15*D$101*(1+D$106)</f>
        <v>326773.59381894366</v>
      </c>
      <c r="E113" s="631">
        <f>SUM($F$72:$F$74)*$C$9*$C$15*E$101*(1+E$106)</f>
        <v>335808.80328518699</v>
      </c>
      <c r="F113" s="631">
        <f>SUM($G$72:$G$74)*$C$9*$C$15*F$101*(1+F$106)</f>
        <v>454790.88515951706</v>
      </c>
      <c r="G113" s="631">
        <f>SUM($G$72:$G$74)*$C$9*$C$15*G$101*(1+G$106)</f>
        <v>474051.49120610207</v>
      </c>
      <c r="H113" s="631">
        <f t="shared" ref="H113:O113" si="20">SUM($G$72:$G$74)*$C$9*$C$15*H$101*(1+H$106)</f>
        <v>496798.00292742939</v>
      </c>
      <c r="I113" s="631">
        <f t="shared" si="20"/>
        <v>514180.59312017844</v>
      </c>
      <c r="J113" s="631">
        <f t="shared" si="20"/>
        <v>534677.70382354432</v>
      </c>
      <c r="K113" s="631">
        <f t="shared" si="20"/>
        <v>557663.94003608462</v>
      </c>
      <c r="L113" s="631">
        <f t="shared" si="20"/>
        <v>585138.43477540987</v>
      </c>
      <c r="M113" s="631">
        <f t="shared" si="20"/>
        <v>613639.85756171006</v>
      </c>
      <c r="N113" s="631">
        <f t="shared" si="20"/>
        <v>638939.85449310672</v>
      </c>
      <c r="O113" s="631">
        <f t="shared" si="20"/>
        <v>665270.95358058577</v>
      </c>
    </row>
    <row r="114" spans="1:15" ht="30" x14ac:dyDescent="0.25">
      <c r="A114" s="960"/>
      <c r="B114" s="984"/>
      <c r="C114" s="485" t="s">
        <v>594</v>
      </c>
      <c r="D114" s="631">
        <f>$F$75*$C$9*$C$15*D$102*(1+D$106)</f>
        <v>302828.92390152143</v>
      </c>
      <c r="E114" s="631">
        <f>$F$75*$C$9*$C$15*E$102*(1+E$106)</f>
        <v>313975.14810356527</v>
      </c>
      <c r="F114" s="631">
        <f>$G$75*$C$9*$C$15*F$102*(1+F$106)</f>
        <v>662779.87699689472</v>
      </c>
      <c r="G114" s="631">
        <f t="shared" ref="G114:O114" si="21">$G$75*$C$9*$C$15*G$102*(1+G$106)</f>
        <v>687174.81592951715</v>
      </c>
      <c r="H114" s="631">
        <f t="shared" si="21"/>
        <v>712467.65937943617</v>
      </c>
      <c r="I114" s="631">
        <f t="shared" si="21"/>
        <v>738691.45651821711</v>
      </c>
      <c r="J114" s="631">
        <f t="shared" si="21"/>
        <v>765880.47295828047</v>
      </c>
      <c r="K114" s="631">
        <f t="shared" si="21"/>
        <v>794070.23552645952</v>
      </c>
      <c r="L114" s="631">
        <f t="shared" si="21"/>
        <v>823297.57868548005</v>
      </c>
      <c r="M114" s="631">
        <f t="shared" si="21"/>
        <v>853600.69266415609</v>
      </c>
      <c r="N114" s="631">
        <f t="shared" si="21"/>
        <v>885019.17335904541</v>
      </c>
      <c r="O114" s="631">
        <f t="shared" si="21"/>
        <v>917594.07407287403</v>
      </c>
    </row>
    <row r="115" spans="1:15" x14ac:dyDescent="0.25">
      <c r="A115" s="58" t="s">
        <v>277</v>
      </c>
      <c r="B115" s="699" t="s">
        <v>59</v>
      </c>
      <c r="C115" s="244" t="s">
        <v>81</v>
      </c>
      <c r="D115" s="631">
        <f>$F$66*$C$8*$C$14*D$101*(1+D$105)*$B$51</f>
        <v>0</v>
      </c>
      <c r="E115" s="631">
        <f>$F$66*$C$8*$C$14*E$101*(1+E$105)*$B$51</f>
        <v>0</v>
      </c>
      <c r="F115" s="631">
        <f t="shared" ref="F115:O115" si="22">$G$66*$C$8*$C$14*F$101*(1+F$105)*$B$51</f>
        <v>272184.02061256918</v>
      </c>
      <c r="G115" s="631">
        <f t="shared" si="22"/>
        <v>284212.3747984434</v>
      </c>
      <c r="H115" s="631">
        <f t="shared" si="22"/>
        <v>303588.02632382838</v>
      </c>
      <c r="I115" s="631">
        <f t="shared" si="22"/>
        <v>310456.2465904</v>
      </c>
      <c r="J115" s="631">
        <f t="shared" si="22"/>
        <v>319494.27998620045</v>
      </c>
      <c r="K115" s="631">
        <f t="shared" si="22"/>
        <v>330258.9392470094</v>
      </c>
      <c r="L115" s="631">
        <f t="shared" si="22"/>
        <v>343880.11532188469</v>
      </c>
      <c r="M115" s="631">
        <f t="shared" si="22"/>
        <v>358281.67935127264</v>
      </c>
      <c r="N115" s="631">
        <f t="shared" si="22"/>
        <v>377004.62746019877</v>
      </c>
      <c r="O115" s="631">
        <f t="shared" si="22"/>
        <v>396701.98265322577</v>
      </c>
    </row>
    <row r="116" spans="1:15" x14ac:dyDescent="0.25">
      <c r="A116" s="981" t="s">
        <v>278</v>
      </c>
      <c r="B116" s="1001" t="s">
        <v>59</v>
      </c>
      <c r="C116" s="244" t="s">
        <v>81</v>
      </c>
      <c r="D116" s="631">
        <f>($B$64*$B$32+$B$65*$B$33+$B$66*$B$34+$B$67*$B$36+$B$68*$B$37)*(1+D$105)*$C$24</f>
        <v>167682.57159611568</v>
      </c>
      <c r="E116" s="631">
        <f>($B$64*$B$32+$B$65*$B$33+$B$66*$B$34+$B$67*$B$36+$B$68*$B$37)*(1+E$105)*$C$24</f>
        <v>173864.35910497286</v>
      </c>
      <c r="F116" s="631">
        <f t="shared" ref="F116:O116" si="23">($C$64*$B$32+$C$65*$B$33+$C$66*$B$34+$C$67*$B$36+$C$68*$B$37)*$C$24*(1+F$105)</f>
        <v>180436.33436685093</v>
      </c>
      <c r="G116" s="631">
        <f t="shared" si="23"/>
        <v>187408.16562464548</v>
      </c>
      <c r="H116" s="631">
        <f t="shared" si="23"/>
        <v>198049.50505896955</v>
      </c>
      <c r="I116" s="631">
        <f t="shared" si="23"/>
        <v>202885.77877923986</v>
      </c>
      <c r="J116" s="631">
        <f t="shared" si="23"/>
        <v>208178.47283753593</v>
      </c>
      <c r="K116" s="631">
        <f t="shared" si="23"/>
        <v>213916.72688563509</v>
      </c>
      <c r="L116" s="631">
        <f t="shared" si="23"/>
        <v>220094.4466763942</v>
      </c>
      <c r="M116" s="631">
        <f t="shared" si="23"/>
        <v>226709.4420571074</v>
      </c>
      <c r="N116" s="631">
        <f t="shared" si="23"/>
        <v>237543.52149148309</v>
      </c>
      <c r="O116" s="631">
        <f t="shared" si="23"/>
        <v>248897.31843161435</v>
      </c>
    </row>
    <row r="117" spans="1:15" x14ac:dyDescent="0.25">
      <c r="A117" s="981" t="s">
        <v>135</v>
      </c>
      <c r="B117" s="1001"/>
      <c r="C117" s="244" t="s">
        <v>14</v>
      </c>
      <c r="D117" s="631">
        <f>($B$72*$B$32+$B$73*$B$33+$B$74*$B$35+$B$75*$B$36)*$C$24*(1+D$106)</f>
        <v>50518.945219892637</v>
      </c>
      <c r="E117" s="631">
        <f>($B$72*$B$32+$B$73*$B$33+$B$74*$B$35+$B$75*$B$36)*$C$24*(1+E$106)</f>
        <v>52378.396036601313</v>
      </c>
      <c r="F117" s="631">
        <f t="shared" ref="F117:O117" si="24">($C$72*$B$32+$C$73*$B$33+$C$74*$B$35+$C$75*$B$36)*$C$24*(1+F$106)</f>
        <v>54306.287659520633</v>
      </c>
      <c r="G117" s="631">
        <f t="shared" si="24"/>
        <v>56305.139189404421</v>
      </c>
      <c r="H117" s="631">
        <f t="shared" si="24"/>
        <v>58377.562447548939</v>
      </c>
      <c r="I117" s="631">
        <f t="shared" si="24"/>
        <v>60526.265388556043</v>
      </c>
      <c r="J117" s="631">
        <f t="shared" si="24"/>
        <v>62754.055638712402</v>
      </c>
      <c r="K117" s="631">
        <f t="shared" si="24"/>
        <v>65063.844164606788</v>
      </c>
      <c r="L117" s="631">
        <f t="shared" si="24"/>
        <v>67458.649076773319</v>
      </c>
      <c r="M117" s="631">
        <f t="shared" si="24"/>
        <v>69941.599573342086</v>
      </c>
      <c r="N117" s="631">
        <f t="shared" si="24"/>
        <v>72515.940028838057</v>
      </c>
      <c r="O117" s="631">
        <f t="shared" si="24"/>
        <v>75185.034233479688</v>
      </c>
    </row>
    <row r="118" spans="1:15" x14ac:dyDescent="0.25">
      <c r="A118" s="981" t="s">
        <v>279</v>
      </c>
      <c r="B118" s="1001" t="s">
        <v>35</v>
      </c>
      <c r="C118" s="244" t="s">
        <v>81</v>
      </c>
      <c r="D118" s="631">
        <f>($B$64*$C$32+$B$65*$C$33+$B$66*$C$34+$B$67*$C$36+$B$68*$C$37)*$C$24*(1+D$105)</f>
        <v>401599.20233782742</v>
      </c>
      <c r="E118" s="631">
        <f>($B$64*$C$32+$B$65*$C$33+$B$66*$C$34+$B$67*$C$36+$B$68*$C$37)*$C$24*(1+E$105)</f>
        <v>416404.5629006332</v>
      </c>
      <c r="F118" s="631">
        <f t="shared" ref="F118:O118" si="25">($C$64*$C$32+$C$65*$C$33+$C$66*$C$34+$C$67*$C$36+$C$68*$C$37)*$C$24*(1+F$105)</f>
        <v>432144.42183666647</v>
      </c>
      <c r="G118" s="631">
        <f t="shared" si="25"/>
        <v>448841.93455556786</v>
      </c>
      <c r="H118" s="631">
        <f t="shared" si="25"/>
        <v>474327.90717604983</v>
      </c>
      <c r="I118" s="631">
        <f t="shared" si="25"/>
        <v>485910.76668172394</v>
      </c>
      <c r="J118" s="631">
        <f t="shared" si="25"/>
        <v>498586.75138184824</v>
      </c>
      <c r="K118" s="631">
        <f t="shared" si="25"/>
        <v>512329.85077848117</v>
      </c>
      <c r="L118" s="631">
        <f t="shared" si="25"/>
        <v>527125.46916994522</v>
      </c>
      <c r="M118" s="631">
        <f t="shared" si="25"/>
        <v>542968.36114778009</v>
      </c>
      <c r="N118" s="631">
        <f t="shared" si="25"/>
        <v>568915.94542857085</v>
      </c>
      <c r="O118" s="631">
        <f t="shared" si="25"/>
        <v>596108.25141040492</v>
      </c>
    </row>
    <row r="119" spans="1:15" x14ac:dyDescent="0.25">
      <c r="A119" s="981" t="s">
        <v>135</v>
      </c>
      <c r="B119" s="1001"/>
      <c r="C119" s="244" t="s">
        <v>14</v>
      </c>
      <c r="D119" s="631">
        <f>($B$72*$C$32+$B$73*$C$33+$B$74*$C$35+$B$75*$C$36)*$C$24*(1+D$106)</f>
        <v>104767.64346896403</v>
      </c>
      <c r="E119" s="631">
        <f>($B$72*$C$32+$B$73*$C$33+$B$74*$C$35+$B$75*$C$36)*$C$24*(1+E$106)</f>
        <v>108623.82612212637</v>
      </c>
      <c r="F119" s="631">
        <f t="shared" ref="F119:O119" si="26">($C$72*$C$32+$C$73*$C$33+$C$74*$C$35+$C$75*$C$36)*$C$24*(1+F$106)</f>
        <v>112621.94329020375</v>
      </c>
      <c r="G119" s="631">
        <f t="shared" si="26"/>
        <v>116767.2191568859</v>
      </c>
      <c r="H119" s="631">
        <f t="shared" si="26"/>
        <v>121065.07019239361</v>
      </c>
      <c r="I119" s="631">
        <f t="shared" si="26"/>
        <v>125521.1122309654</v>
      </c>
      <c r="J119" s="631">
        <f t="shared" si="26"/>
        <v>130141.16780885009</v>
      </c>
      <c r="K119" s="631">
        <f t="shared" si="26"/>
        <v>134931.27377239105</v>
      </c>
      <c r="L119" s="631">
        <f t="shared" si="26"/>
        <v>139897.68916613114</v>
      </c>
      <c r="M119" s="631">
        <f t="shared" si="26"/>
        <v>145046.90341126887</v>
      </c>
      <c r="N119" s="631">
        <f t="shared" si="26"/>
        <v>150385.64478512737</v>
      </c>
      <c r="O119" s="631">
        <f t="shared" si="26"/>
        <v>155920.88921273395</v>
      </c>
    </row>
    <row r="121" spans="1:15" s="698" customFormat="1" ht="30" customHeight="1" x14ac:dyDescent="0.25">
      <c r="A121" s="540" t="s">
        <v>894</v>
      </c>
      <c r="B121" s="540" t="s">
        <v>48</v>
      </c>
      <c r="C121" s="540" t="s">
        <v>77</v>
      </c>
      <c r="D121" s="181">
        <v>2021</v>
      </c>
      <c r="E121" s="181">
        <v>2022</v>
      </c>
      <c r="F121" s="181">
        <v>2023</v>
      </c>
      <c r="G121" s="181">
        <v>2024</v>
      </c>
      <c r="H121" s="181">
        <v>2025</v>
      </c>
      <c r="I121" s="181">
        <v>2026</v>
      </c>
      <c r="J121" s="181">
        <v>2027</v>
      </c>
      <c r="K121" s="181">
        <v>2028</v>
      </c>
      <c r="L121" s="181">
        <v>2029</v>
      </c>
      <c r="M121" s="181">
        <v>2030</v>
      </c>
      <c r="N121" s="181">
        <v>2031</v>
      </c>
      <c r="O121" s="181">
        <v>2032</v>
      </c>
    </row>
    <row r="122" spans="1:15" x14ac:dyDescent="0.25">
      <c r="A122" s="981" t="s">
        <v>280</v>
      </c>
      <c r="B122" s="982" t="s">
        <v>30</v>
      </c>
      <c r="C122" s="244" t="s">
        <v>81</v>
      </c>
      <c r="D122" s="631">
        <f>$F$69*$C$8*$C$14*$C$20*D$103/10^6*(1+D$105)</f>
        <v>0</v>
      </c>
      <c r="E122" s="631">
        <f>$F$69*$C$8*$C$14*$C$20*E$103/10^6*(1+E105)</f>
        <v>0</v>
      </c>
      <c r="F122" s="631">
        <f t="shared" ref="F122:O122" si="27">$G$69*$C$8*$C$14*$C$20*F$103/10^6*(1+F105)</f>
        <v>433635.04033630161</v>
      </c>
      <c r="G122" s="631">
        <f t="shared" si="27"/>
        <v>473194.71315402834</v>
      </c>
      <c r="H122" s="631">
        <f t="shared" si="27"/>
        <v>518138.05948996253</v>
      </c>
      <c r="I122" s="631">
        <f t="shared" si="27"/>
        <v>544369.10967258364</v>
      </c>
      <c r="J122" s="631">
        <f t="shared" si="27"/>
        <v>577569.08386098186</v>
      </c>
      <c r="K122" s="631">
        <f t="shared" si="27"/>
        <v>614313.44544443581</v>
      </c>
      <c r="L122" s="631">
        <f t="shared" si="27"/>
        <v>654818.92298463359</v>
      </c>
      <c r="M122" s="631">
        <f t="shared" si="27"/>
        <v>693810.50379408873</v>
      </c>
      <c r="N122" s="631">
        <f t="shared" si="27"/>
        <v>752981.30038399226</v>
      </c>
      <c r="O122" s="631">
        <f t="shared" si="27"/>
        <v>810172.08823524613</v>
      </c>
    </row>
    <row r="123" spans="1:15" x14ac:dyDescent="0.25">
      <c r="A123" s="981"/>
      <c r="B123" s="983"/>
      <c r="C123" s="244" t="s">
        <v>14</v>
      </c>
      <c r="D123" s="631">
        <f>$F$76*$C$9*$C$15*$C$20*D$103/10^6*(1+D$106)</f>
        <v>545549.10010193475</v>
      </c>
      <c r="E123" s="631">
        <f>$F$76*$C$9*$C$15*$C$20*E$103/10^6*(1+E$106)</f>
        <v>588938.01837730198</v>
      </c>
      <c r="F123" s="631">
        <f t="shared" ref="F123:O123" si="28">$G$76*$C$9*$C$15*$C$20*F$103/10^6*(1+F$106)</f>
        <v>885038.69928995112</v>
      </c>
      <c r="G123" s="631">
        <f t="shared" si="28"/>
        <v>964075.80318558495</v>
      </c>
      <c r="H123" s="631">
        <f t="shared" si="28"/>
        <v>1035689.2355363335</v>
      </c>
      <c r="I123" s="631">
        <f t="shared" si="28"/>
        <v>1101279.4035113177</v>
      </c>
      <c r="J123" s="631">
        <f t="shared" si="28"/>
        <v>1180651.412016911</v>
      </c>
      <c r="K123" s="631">
        <f t="shared" si="28"/>
        <v>1267058.7941017959</v>
      </c>
      <c r="L123" s="631">
        <f t="shared" si="28"/>
        <v>1361010.7285373933</v>
      </c>
      <c r="M123" s="631">
        <f t="shared" si="28"/>
        <v>1451505.1974695348</v>
      </c>
      <c r="N123" s="631">
        <f t="shared" si="28"/>
        <v>1558785.1299624778</v>
      </c>
      <c r="O123" s="631">
        <f t="shared" si="28"/>
        <v>1659587.8000363542</v>
      </c>
    </row>
    <row r="124" spans="1:15" ht="15" customHeight="1" x14ac:dyDescent="0.25">
      <c r="A124" s="981" t="s">
        <v>281</v>
      </c>
      <c r="B124" s="700" t="s">
        <v>34</v>
      </c>
      <c r="C124" s="244" t="s">
        <v>81</v>
      </c>
      <c r="D124" s="631">
        <f>$F$69*$C$8*$C$14*D104*$C$21*(1+D$105)</f>
        <v>0</v>
      </c>
      <c r="E124" s="631">
        <f>$F$69*$C$8*$C$14*E104*$C$21*(1+E$105)</f>
        <v>0</v>
      </c>
      <c r="F124" s="631">
        <f t="shared" ref="F124:O124" si="29">$G$69*$C$8*$C$14*F104*$C$21*(1+F$105)</f>
        <v>163044.63602703571</v>
      </c>
      <c r="G124" s="631">
        <f t="shared" si="29"/>
        <v>168196.6248226295</v>
      </c>
      <c r="H124" s="631">
        <f t="shared" si="29"/>
        <v>169088.42447419529</v>
      </c>
      <c r="I124" s="631">
        <f t="shared" si="29"/>
        <v>174923.38409605582</v>
      </c>
      <c r="J124" s="631">
        <f t="shared" si="29"/>
        <v>181702.80516471848</v>
      </c>
      <c r="K124" s="631">
        <f t="shared" si="29"/>
        <v>188798.36811102653</v>
      </c>
      <c r="L124" s="631">
        <f t="shared" si="29"/>
        <v>196656.39555962515</v>
      </c>
      <c r="M124" s="631">
        <f t="shared" si="29"/>
        <v>204779.38741264553</v>
      </c>
      <c r="N124" s="631">
        <f t="shared" si="29"/>
        <v>218564.30463915807</v>
      </c>
      <c r="O124" s="631">
        <f t="shared" si="29"/>
        <v>233200.92877585857</v>
      </c>
    </row>
    <row r="125" spans="1:15" x14ac:dyDescent="0.25">
      <c r="A125" s="981"/>
      <c r="B125" s="700" t="s">
        <v>35</v>
      </c>
      <c r="C125" s="244" t="s">
        <v>14</v>
      </c>
      <c r="D125" s="631">
        <f>$F$76*$C$9*$C$15*D104*$C$21*(1+D$106)</f>
        <v>226428.86156941182</v>
      </c>
      <c r="E125" s="631">
        <f>$F$76*$C$9*$C$15*E104*$C$21*(1+E$106)</f>
        <v>232374.18131350263</v>
      </c>
      <c r="F125" s="631">
        <f t="shared" ref="F125:O125" si="30">$G$76*$C$9*$C$15*F104*$C$21*(1+F$106)</f>
        <v>332770.18500087084</v>
      </c>
      <c r="G125" s="631">
        <f t="shared" si="30"/>
        <v>342679.85601140605</v>
      </c>
      <c r="H125" s="631">
        <f t="shared" si="30"/>
        <v>337985.3262547584</v>
      </c>
      <c r="I125" s="631">
        <f t="shared" si="30"/>
        <v>353876.6558840021</v>
      </c>
      <c r="J125" s="631">
        <f t="shared" si="30"/>
        <v>371432.0580510752</v>
      </c>
      <c r="K125" s="631">
        <f t="shared" si="30"/>
        <v>389408.10168020549</v>
      </c>
      <c r="L125" s="631">
        <f t="shared" si="30"/>
        <v>408741.18752127764</v>
      </c>
      <c r="M125" s="631">
        <f t="shared" si="30"/>
        <v>428414.30554688995</v>
      </c>
      <c r="N125" s="631">
        <f t="shared" si="30"/>
        <v>452461.15386712394</v>
      </c>
      <c r="O125" s="631">
        <f t="shared" si="30"/>
        <v>477697.79035041889</v>
      </c>
    </row>
    <row r="127" spans="1:15" s="698" customFormat="1" ht="30" x14ac:dyDescent="0.25">
      <c r="A127" s="540" t="s">
        <v>41</v>
      </c>
      <c r="B127" s="540" t="s">
        <v>21</v>
      </c>
      <c r="C127" s="540"/>
      <c r="D127" s="181">
        <v>2021</v>
      </c>
      <c r="E127" s="181">
        <v>2022</v>
      </c>
      <c r="F127" s="181">
        <v>2023</v>
      </c>
      <c r="G127" s="181">
        <v>2024</v>
      </c>
      <c r="H127" s="181">
        <v>2025</v>
      </c>
      <c r="I127" s="181">
        <v>2026</v>
      </c>
      <c r="J127" s="181">
        <v>2027</v>
      </c>
      <c r="K127" s="181">
        <v>2028</v>
      </c>
      <c r="L127" s="181">
        <v>2029</v>
      </c>
      <c r="M127" s="181">
        <v>2030</v>
      </c>
      <c r="N127" s="181">
        <v>2031</v>
      </c>
      <c r="O127" s="181">
        <v>2032</v>
      </c>
    </row>
    <row r="128" spans="1:15" x14ac:dyDescent="0.25">
      <c r="A128" s="958" t="s">
        <v>277</v>
      </c>
      <c r="B128" s="982" t="s">
        <v>35</v>
      </c>
      <c r="C128" s="244" t="s">
        <v>81</v>
      </c>
      <c r="D128" s="631">
        <f>SUM($H$64:$H$65,$H$67:$H$68)*$C$8*$C$14*D$101*(1+D$105)</f>
        <v>0</v>
      </c>
      <c r="E128" s="631">
        <f>SUM($H$64:$H$65,$H$67:$H$68)*$C$8*$C$14*E$101*(1+E$105)</f>
        <v>0</v>
      </c>
      <c r="F128" s="631">
        <f>SUM($I$64:$I$65,$I$67:$I$68)*$C$8*$C$14*F$101*(1+F$105)</f>
        <v>0</v>
      </c>
      <c r="G128" s="631">
        <f t="shared" ref="G128:O128" si="31">SUM($I$64:$I$65,$I$67:$I$68)*$C$8*$C$14*G$101*(1+G$105)</f>
        <v>0</v>
      </c>
      <c r="H128" s="631">
        <f t="shared" si="31"/>
        <v>0</v>
      </c>
      <c r="I128" s="631">
        <f t="shared" si="31"/>
        <v>0</v>
      </c>
      <c r="J128" s="631">
        <f t="shared" si="31"/>
        <v>0</v>
      </c>
      <c r="K128" s="631">
        <f t="shared" si="31"/>
        <v>0</v>
      </c>
      <c r="L128" s="631">
        <f t="shared" si="31"/>
        <v>0</v>
      </c>
      <c r="M128" s="631">
        <f t="shared" si="31"/>
        <v>0</v>
      </c>
      <c r="N128" s="631">
        <f t="shared" si="31"/>
        <v>0</v>
      </c>
      <c r="O128" s="631">
        <f t="shared" si="31"/>
        <v>0</v>
      </c>
    </row>
    <row r="129" spans="1:15" ht="30" x14ac:dyDescent="0.25">
      <c r="A129" s="959"/>
      <c r="B129" s="983"/>
      <c r="C129" s="485" t="s">
        <v>593</v>
      </c>
      <c r="D129" s="631">
        <f>SUM($H$72:$H$74)*$C$9*$C$15*D$101*(1+D$106)</f>
        <v>326773.59381894366</v>
      </c>
      <c r="E129" s="631">
        <f>SUM($H$72:$H$74)*$C$9*$C$15*E$101*(1+E$106)</f>
        <v>335808.80328518699</v>
      </c>
      <c r="F129" s="631">
        <f>SUM($G$72:$G$74)*$C$9*$C$15*F$101*(1+F$106)</f>
        <v>454790.88515951706</v>
      </c>
      <c r="G129" s="631">
        <f t="shared" ref="G129:O129" si="32">SUM($G$72:$G$74)*$C$9*$C$15*G$101*(1+G$106)</f>
        <v>474051.49120610207</v>
      </c>
      <c r="H129" s="631">
        <f t="shared" si="32"/>
        <v>496798.00292742939</v>
      </c>
      <c r="I129" s="631">
        <f t="shared" si="32"/>
        <v>514180.59312017844</v>
      </c>
      <c r="J129" s="631">
        <f t="shared" si="32"/>
        <v>534677.70382354432</v>
      </c>
      <c r="K129" s="631">
        <f t="shared" si="32"/>
        <v>557663.94003608462</v>
      </c>
      <c r="L129" s="631">
        <f t="shared" si="32"/>
        <v>585138.43477540987</v>
      </c>
      <c r="M129" s="631">
        <f t="shared" si="32"/>
        <v>613639.85756171006</v>
      </c>
      <c r="N129" s="631">
        <f t="shared" si="32"/>
        <v>638939.85449310672</v>
      </c>
      <c r="O129" s="631">
        <f t="shared" si="32"/>
        <v>665270.95358058577</v>
      </c>
    </row>
    <row r="130" spans="1:15" ht="30" x14ac:dyDescent="0.25">
      <c r="A130" s="959"/>
      <c r="B130" s="983"/>
      <c r="C130" s="485" t="s">
        <v>594</v>
      </c>
      <c r="D130" s="631">
        <f>$H$75*$C$9*$C$15*D$102*(1+D$106)</f>
        <v>302828.92390152143</v>
      </c>
      <c r="E130" s="631">
        <f t="shared" ref="E130" si="33">$H$75*$C$9*$C$15*E$102*(1+E$106)</f>
        <v>313975.14810356527</v>
      </c>
      <c r="F130" s="631">
        <f>$G$75*$C$9*$C$15*F$102*(1+F$106)</f>
        <v>662779.87699689472</v>
      </c>
      <c r="G130" s="631">
        <f t="shared" ref="G130:O130" si="34">$G$75*$C$9*$C$15*G$102*(1+G$106)</f>
        <v>687174.81592951715</v>
      </c>
      <c r="H130" s="631">
        <f t="shared" si="34"/>
        <v>712467.65937943617</v>
      </c>
      <c r="I130" s="631">
        <f t="shared" si="34"/>
        <v>738691.45651821711</v>
      </c>
      <c r="J130" s="631">
        <f t="shared" si="34"/>
        <v>765880.47295828047</v>
      </c>
      <c r="K130" s="631">
        <f t="shared" si="34"/>
        <v>794070.23552645952</v>
      </c>
      <c r="L130" s="631">
        <f t="shared" si="34"/>
        <v>823297.57868548005</v>
      </c>
      <c r="M130" s="631">
        <f t="shared" si="34"/>
        <v>853600.69266415609</v>
      </c>
      <c r="N130" s="631">
        <f t="shared" si="34"/>
        <v>885019.17335904541</v>
      </c>
      <c r="O130" s="631">
        <f t="shared" si="34"/>
        <v>917594.07407287403</v>
      </c>
    </row>
    <row r="131" spans="1:15" x14ac:dyDescent="0.25">
      <c r="A131" s="959"/>
      <c r="B131" s="983"/>
      <c r="C131" s="244" t="s">
        <v>822</v>
      </c>
      <c r="D131" s="701"/>
      <c r="E131" s="701"/>
      <c r="F131" s="701"/>
      <c r="G131" s="701"/>
      <c r="H131" s="631">
        <f>$H$86*$C$10*$C$16*H$101*(1+H$107)</f>
        <v>4636740.4863588307</v>
      </c>
      <c r="I131" s="631">
        <f t="shared" ref="I131:O131" si="35">$I$86*$C$10*$C$16*I$101*(1+I$107)</f>
        <v>4986321.3934468785</v>
      </c>
      <c r="J131" s="631">
        <f t="shared" si="35"/>
        <v>5114722.0793557083</v>
      </c>
      <c r="K131" s="631">
        <f t="shared" si="35"/>
        <v>5262219.140024784</v>
      </c>
      <c r="L131" s="631">
        <f t="shared" si="35"/>
        <v>5446561.5420650057</v>
      </c>
      <c r="M131" s="631">
        <f t="shared" si="35"/>
        <v>5634375.5832522186</v>
      </c>
      <c r="N131" s="631">
        <f t="shared" si="35"/>
        <v>5792166.8173075961</v>
      </c>
      <c r="O131" s="631">
        <f t="shared" si="35"/>
        <v>5950392.1325047147</v>
      </c>
    </row>
    <row r="132" spans="1:15" ht="30" x14ac:dyDescent="0.25">
      <c r="A132" s="959"/>
      <c r="B132" s="983"/>
      <c r="C132" s="485" t="s">
        <v>520</v>
      </c>
      <c r="D132" s="701"/>
      <c r="E132" s="701"/>
      <c r="F132" s="701"/>
      <c r="G132" s="701"/>
      <c r="H132" s="701"/>
      <c r="I132" s="701"/>
      <c r="J132" s="631">
        <f>$H$91*$C$11*$C$17*J$101*(1+J$108)</f>
        <v>3489578.1831624215</v>
      </c>
      <c r="K132" s="631">
        <f>$I$91*$C$11*$C$17*K$101*(1+K$108)</f>
        <v>3713258.6745136185</v>
      </c>
      <c r="L132" s="631">
        <f>$I$91*$C$11*$C$17*L$101*(1+L$108)</f>
        <v>3797973.1068754042</v>
      </c>
      <c r="M132" s="631">
        <f>$I$91*$C$11*$C$17*M$101*(1+M$108)</f>
        <v>3882725.5287860064</v>
      </c>
      <c r="N132" s="631">
        <f>$I$91*$C$11*$C$17*N$101*(1+N$108)</f>
        <v>3944807.7756308061</v>
      </c>
      <c r="O132" s="631">
        <f>$I$91*$C$11*$C$17*O$101*(1+O$108)</f>
        <v>4006645.2619713652</v>
      </c>
    </row>
    <row r="133" spans="1:15" x14ac:dyDescent="0.25">
      <c r="A133" s="960"/>
      <c r="B133" s="983"/>
      <c r="C133" s="244" t="s">
        <v>521</v>
      </c>
      <c r="D133" s="701"/>
      <c r="E133" s="701"/>
      <c r="F133" s="701"/>
      <c r="G133" s="701"/>
      <c r="H133" s="701"/>
      <c r="I133" s="701"/>
      <c r="J133" s="701"/>
      <c r="K133" s="701"/>
      <c r="L133" s="631">
        <f>$H$98*$C$11*$C$17*L$101*(1+L$108)</f>
        <v>5154272.8827310847</v>
      </c>
      <c r="M133" s="631">
        <f>$I$98*$C$11*$C$17*M$101*(1+M$108)</f>
        <v>5514717.1409506323</v>
      </c>
      <c r="N133" s="631">
        <f>$I$98*$C$11*$C$17*N$101*(1+N$108)</f>
        <v>5602893.8684286596</v>
      </c>
      <c r="O133" s="631">
        <f>$I$98*$C$11*$C$17*O$101*(1+O$108)</f>
        <v>5690722.9573888071</v>
      </c>
    </row>
    <row r="134" spans="1:15" x14ac:dyDescent="0.25">
      <c r="A134" s="58" t="s">
        <v>789</v>
      </c>
      <c r="B134" s="699" t="s">
        <v>59</v>
      </c>
      <c r="C134" s="244" t="s">
        <v>81</v>
      </c>
      <c r="D134" s="631">
        <f>$H$66*$C$8*$C$14*D$101*(1+D$105)*$D$51</f>
        <v>0</v>
      </c>
      <c r="E134" s="631">
        <f>$H$66*$C$8*$C$14*E$101*(1+E$105)*$D$51</f>
        <v>0</v>
      </c>
      <c r="F134" s="631">
        <f t="shared" ref="F134:O134" si="36">$I$66*$C$8*$C$14*F$101*(1+F$105)*$D$51</f>
        <v>272184.02061256918</v>
      </c>
      <c r="G134" s="631">
        <f t="shared" si="36"/>
        <v>284212.3747984434</v>
      </c>
      <c r="H134" s="631">
        <f t="shared" si="36"/>
        <v>303588.02632382838</v>
      </c>
      <c r="I134" s="631">
        <f t="shared" si="36"/>
        <v>310456.2465904</v>
      </c>
      <c r="J134" s="631">
        <f t="shared" si="36"/>
        <v>319494.27998620045</v>
      </c>
      <c r="K134" s="631">
        <f t="shared" si="36"/>
        <v>330258.9392470094</v>
      </c>
      <c r="L134" s="631">
        <f t="shared" si="36"/>
        <v>343880.11532188469</v>
      </c>
      <c r="M134" s="631">
        <f t="shared" si="36"/>
        <v>358281.67935127264</v>
      </c>
      <c r="N134" s="631">
        <f t="shared" si="36"/>
        <v>377004.62746019877</v>
      </c>
      <c r="O134" s="631">
        <f t="shared" si="36"/>
        <v>396701.98265322577</v>
      </c>
    </row>
    <row r="135" spans="1:15" x14ac:dyDescent="0.25">
      <c r="A135" s="958" t="s">
        <v>278</v>
      </c>
      <c r="B135" s="982" t="s">
        <v>59</v>
      </c>
      <c r="C135" s="244" t="s">
        <v>81</v>
      </c>
      <c r="D135" s="631">
        <f>($D$64*$D$32+$D$65*$D$33+$D$66*$D$34+$D$67*$D$36+$D$68*$D$37)*(1+D$105)*$C$24</f>
        <v>167682.57159611568</v>
      </c>
      <c r="E135" s="631">
        <f>($D$64*$D$32+$D$65*$D$33+$D$66*$D$34+$D$67*$D$36+$D$68*$D$37)*(1+E$105)*$C$24</f>
        <v>173864.35910497286</v>
      </c>
      <c r="F135" s="631">
        <f t="shared" ref="F135:O135" si="37">($E$64*$D$32+$E$65*$D$33+$E$66*$D$34+$E$67*$D$36+$E$68*$D$37)*(1+F$105)*$C$24</f>
        <v>180436.33436685093</v>
      </c>
      <c r="G135" s="631">
        <f t="shared" si="37"/>
        <v>187408.16562464551</v>
      </c>
      <c r="H135" s="631">
        <f t="shared" si="37"/>
        <v>198049.50505896957</v>
      </c>
      <c r="I135" s="631">
        <f t="shared" si="37"/>
        <v>202885.77877923986</v>
      </c>
      <c r="J135" s="631">
        <f t="shared" si="37"/>
        <v>208178.47283753593</v>
      </c>
      <c r="K135" s="631">
        <f t="shared" si="37"/>
        <v>213916.72688563509</v>
      </c>
      <c r="L135" s="631">
        <f t="shared" si="37"/>
        <v>220094.44667639423</v>
      </c>
      <c r="M135" s="631">
        <f t="shared" si="37"/>
        <v>226709.44205710743</v>
      </c>
      <c r="N135" s="631">
        <f t="shared" si="37"/>
        <v>237543.52149148312</v>
      </c>
      <c r="O135" s="631">
        <f t="shared" si="37"/>
        <v>248897.31843161437</v>
      </c>
    </row>
    <row r="136" spans="1:15" x14ac:dyDescent="0.25">
      <c r="A136" s="959"/>
      <c r="B136" s="983"/>
      <c r="C136" s="244" t="s">
        <v>14</v>
      </c>
      <c r="D136" s="631">
        <f>($D$72*$D$32+$D$73*$D$33+$D$74*$D$35+$D$75*$D$36)*$C$24*(1+D$106)</f>
        <v>50518.945219892637</v>
      </c>
      <c r="E136" s="631">
        <f>($D$72*$D$32+$D$73*$D$33+$D$74*$D$35+$D$75*$D$36)*$C$24*(1+E$106)</f>
        <v>52378.396036601313</v>
      </c>
      <c r="F136" s="631">
        <f t="shared" ref="F136:O136" si="38">($E$72*$D$32+$E$73*$D$33+$E$74*$D$35+$E$75*$D$36)*$C$24*(1+F$106)</f>
        <v>54306.287659520633</v>
      </c>
      <c r="G136" s="631">
        <f t="shared" si="38"/>
        <v>56305.139189404421</v>
      </c>
      <c r="H136" s="631">
        <f t="shared" si="38"/>
        <v>58377.562447548939</v>
      </c>
      <c r="I136" s="631">
        <f t="shared" si="38"/>
        <v>60526.265388556043</v>
      </c>
      <c r="J136" s="631">
        <f t="shared" si="38"/>
        <v>62754.055638712402</v>
      </c>
      <c r="K136" s="631">
        <f t="shared" si="38"/>
        <v>65063.844164606788</v>
      </c>
      <c r="L136" s="631">
        <f t="shared" si="38"/>
        <v>67458.649076773319</v>
      </c>
      <c r="M136" s="631">
        <f t="shared" si="38"/>
        <v>69941.599573342086</v>
      </c>
      <c r="N136" s="631">
        <f t="shared" si="38"/>
        <v>72515.940028838057</v>
      </c>
      <c r="O136" s="631">
        <f t="shared" si="38"/>
        <v>75185.034233479688</v>
      </c>
    </row>
    <row r="137" spans="1:15" x14ac:dyDescent="0.25">
      <c r="A137" s="959"/>
      <c r="B137" s="983"/>
      <c r="C137" s="244" t="s">
        <v>822</v>
      </c>
      <c r="D137" s="701"/>
      <c r="E137" s="701"/>
      <c r="F137" s="701"/>
      <c r="G137" s="701"/>
      <c r="H137" s="631">
        <f>($D$79*$D$32+$D$80*$D$33+$D$81*$D$35+$D$82*$D$36+$D$83*$D$37+$D$84*$D$39+$D$85*$D$40)*$C$24*(1+H$107)</f>
        <v>274078.93773522467</v>
      </c>
      <c r="I137" s="631">
        <f t="shared" ref="I137:O137" si="39">($E$79*$D$32+$E$80*$D$33+$E$81*$D$35+$E$82*$D$36+$E$83*$D$37+$E$84*$D$39+$E$85*$D$40)*$C$24*(1+I$107)</f>
        <v>282120.71915449109</v>
      </c>
      <c r="J137" s="631">
        <f t="shared" si="39"/>
        <v>288534.854217257</v>
      </c>
      <c r="K137" s="631">
        <f t="shared" si="39"/>
        <v>295095.51167111786</v>
      </c>
      <c r="L137" s="631">
        <f t="shared" si="39"/>
        <v>301806.05402606894</v>
      </c>
      <c r="M137" s="631">
        <f t="shared" si="39"/>
        <v>308669.92130000971</v>
      </c>
      <c r="N137" s="631">
        <f t="shared" si="39"/>
        <v>315966.53075114696</v>
      </c>
      <c r="O137" s="631">
        <f t="shared" si="39"/>
        <v>323225.00016066374</v>
      </c>
    </row>
    <row r="138" spans="1:15" ht="30" x14ac:dyDescent="0.25">
      <c r="A138" s="959"/>
      <c r="B138" s="983"/>
      <c r="C138" s="485" t="s">
        <v>520</v>
      </c>
      <c r="D138" s="701"/>
      <c r="E138" s="701"/>
      <c r="F138" s="701"/>
      <c r="G138" s="701"/>
      <c r="H138" s="701"/>
      <c r="I138" s="701"/>
      <c r="J138" s="631">
        <f>($D$89*$D$32+$D$90*$D$33)*$C$24*(1+J$108)</f>
        <v>456173.72379404615</v>
      </c>
      <c r="K138" s="631">
        <f>($E$89*$D$32+$E$90*$D$33)*$C$24*(1+K$108)</f>
        <v>461020.09900223272</v>
      </c>
      <c r="L138" s="631">
        <f>($E$89*$D$32+$E$90*$D$33)*$C$24*(1+L$108)</f>
        <v>465938.28672565444</v>
      </c>
      <c r="M138" s="631">
        <f>($E$89*$D$32+$E$90*$D$33)*$C$24*(1+M$108)</f>
        <v>470929.81868368411</v>
      </c>
      <c r="N138" s="631">
        <f>($E$89*$D$32+$E$90*$D$33)*$C$24*(1+N$108)</f>
        <v>476427.52819614916</v>
      </c>
      <c r="O138" s="631">
        <f>($E$89*$D$32+$E$90*$D$33)*$C$24*(1+O$108)</f>
        <v>481849.29910958163</v>
      </c>
    </row>
    <row r="139" spans="1:15" x14ac:dyDescent="0.25">
      <c r="A139" s="960"/>
      <c r="B139" s="984"/>
      <c r="C139" s="244" t="s">
        <v>521</v>
      </c>
      <c r="D139" s="701"/>
      <c r="E139" s="701"/>
      <c r="F139" s="701"/>
      <c r="G139" s="701"/>
      <c r="H139" s="701"/>
      <c r="I139" s="701"/>
      <c r="J139" s="701"/>
      <c r="K139" s="701"/>
      <c r="L139" s="631">
        <f>($D$94*$D$38+$D$95*$D$39+$D$96*$D$40+$D$97*$D$41)*$C$24*(1+L$108)</f>
        <v>0</v>
      </c>
      <c r="M139" s="631">
        <f>($E$94*$D$38+$E$95*$D$39+$E$96*$D$40+$E$97*$D$41)*$C$24*(1+M$108)</f>
        <v>0</v>
      </c>
      <c r="N139" s="631">
        <f>($E$94*$D$38+$E$95*$D$39+$E$96*$D$40+$E$97*$D$41)*$C$24*(1+N$108)</f>
        <v>0</v>
      </c>
      <c r="O139" s="631">
        <f>($E$94*$D$38+$E$95*$D$39+$E$96*$D$40+$E$97*$D$41)*$C$24*(1+O$108)</f>
        <v>0</v>
      </c>
    </row>
    <row r="140" spans="1:15" x14ac:dyDescent="0.25">
      <c r="A140" s="958" t="s">
        <v>279</v>
      </c>
      <c r="B140" s="985" t="s">
        <v>35</v>
      </c>
      <c r="C140" s="244" t="s">
        <v>81</v>
      </c>
      <c r="D140" s="631">
        <f>($D$64*$E$32+$D$65*$E$33+$D$66*$E$34+$D$67*$E$36+$D$68*$E$37)*(1+D$105)*$C$24</f>
        <v>429714.39690700226</v>
      </c>
      <c r="E140" s="631">
        <f>($D$64*$E$32+$D$65*$E$33+$D$66*$E$34+$D$67*$E$36+$D$68*$E$37)*(1+E$105)*$C$24</f>
        <v>445556.25253868994</v>
      </c>
      <c r="F140" s="631">
        <f t="shared" ref="F140:O140" si="40">($E$64*$E$32+$E$65*$E$33+$E$66*$E$34+$E$67*$E$36+$E$68*$E$37)*(1+F$105)*$C$24</f>
        <v>462398.02899323881</v>
      </c>
      <c r="G140" s="631">
        <f t="shared" si="40"/>
        <v>480264.50274637621</v>
      </c>
      <c r="H140" s="631">
        <f t="shared" si="40"/>
        <v>507534.69972497021</v>
      </c>
      <c r="I140" s="631">
        <f t="shared" si="40"/>
        <v>519928.45314371417</v>
      </c>
      <c r="J140" s="631">
        <f t="shared" si="40"/>
        <v>533491.85936789832</v>
      </c>
      <c r="K140" s="631">
        <f t="shared" si="40"/>
        <v>548197.08695420541</v>
      </c>
      <c r="L140" s="631">
        <f t="shared" si="40"/>
        <v>564028.51838370762</v>
      </c>
      <c r="M140" s="631">
        <f t="shared" si="40"/>
        <v>580980.54102689819</v>
      </c>
      <c r="N140" s="631">
        <f t="shared" si="40"/>
        <v>608744.6662181482</v>
      </c>
      <c r="O140" s="631">
        <f t="shared" si="40"/>
        <v>637840.65370386315</v>
      </c>
    </row>
    <row r="141" spans="1:15" x14ac:dyDescent="0.25">
      <c r="A141" s="959"/>
      <c r="B141" s="985"/>
      <c r="C141" s="244" t="s">
        <v>14</v>
      </c>
      <c r="D141" s="631">
        <f>($D$72*$E$32+$D$73*$E$33+$D$74*$E$35+$D$75*$E$36)*$C$24*(1+D$106)</f>
        <v>104767.64346896403</v>
      </c>
      <c r="E141" s="631">
        <f>($D$72*$E$32+$D$73*$E$33+$D$74*$E$35+$D$75*$E$36)*$C$24*(1+E$106)</f>
        <v>108623.82612212637</v>
      </c>
      <c r="F141" s="631">
        <f t="shared" ref="F141:O141" si="41">($E$72*$E$32+$E$73*$E$33+$E$74*$E$35+$E$75*$E$36)*$C$24*(1+F$106)</f>
        <v>112621.94329020375</v>
      </c>
      <c r="G141" s="631">
        <f t="shared" si="41"/>
        <v>116767.2191568859</v>
      </c>
      <c r="H141" s="631">
        <f t="shared" si="41"/>
        <v>121065.07019239361</v>
      </c>
      <c r="I141" s="631">
        <f t="shared" si="41"/>
        <v>125521.1122309654</v>
      </c>
      <c r="J141" s="631">
        <f t="shared" si="41"/>
        <v>130141.16780885009</v>
      </c>
      <c r="K141" s="631">
        <f t="shared" si="41"/>
        <v>134931.27377239105</v>
      </c>
      <c r="L141" s="631">
        <f t="shared" si="41"/>
        <v>139897.68916613114</v>
      </c>
      <c r="M141" s="631">
        <f t="shared" si="41"/>
        <v>145046.90341126887</v>
      </c>
      <c r="N141" s="631">
        <f t="shared" si="41"/>
        <v>150385.64478512737</v>
      </c>
      <c r="O141" s="631">
        <f t="shared" si="41"/>
        <v>155920.88921273395</v>
      </c>
    </row>
    <row r="142" spans="1:15" x14ac:dyDescent="0.25">
      <c r="A142" s="959"/>
      <c r="B142" s="985"/>
      <c r="C142" s="244" t="s">
        <v>822</v>
      </c>
      <c r="D142" s="701"/>
      <c r="E142" s="701"/>
      <c r="F142" s="701"/>
      <c r="G142" s="701"/>
      <c r="H142" s="631">
        <f>($D$79*$E$32+$D$80*$E$33+$D$81*$E$35+$D$82*$E$36+$D$83*$E$37+$D$84*$E$39+$D$85*$E$40)*$C$24*(1+H$107)</f>
        <v>2691221.9098894936</v>
      </c>
      <c r="I142" s="631">
        <f t="shared" ref="I142:O142" si="42">($E$79*$E$32+$E$80*$E$33+$E$81*$E$35+$E$82*$E$36+$E$83*$E$37+$E$84*$E$39+$E$85*$E$40)*$C$24*(1+I$107)</f>
        <v>2770185.3593573966</v>
      </c>
      <c r="J142" s="631">
        <f t="shared" si="42"/>
        <v>2833166.7068354068</v>
      </c>
      <c r="K142" s="631">
        <f t="shared" si="42"/>
        <v>2897586.7794940621</v>
      </c>
      <c r="L142" s="631">
        <f t="shared" si="42"/>
        <v>2963478.594319805</v>
      </c>
      <c r="M142" s="631">
        <f t="shared" si="42"/>
        <v>3030875.9293607343</v>
      </c>
      <c r="N142" s="631">
        <f t="shared" si="42"/>
        <v>3102522.4242905178</v>
      </c>
      <c r="O142" s="631">
        <f t="shared" si="42"/>
        <v>3173794.4164711987</v>
      </c>
    </row>
    <row r="143" spans="1:15" ht="30" x14ac:dyDescent="0.25">
      <c r="A143" s="959"/>
      <c r="B143" s="985"/>
      <c r="C143" s="485" t="s">
        <v>520</v>
      </c>
      <c r="D143" s="701"/>
      <c r="E143" s="701"/>
      <c r="F143" s="701"/>
      <c r="G143" s="701"/>
      <c r="H143" s="701"/>
      <c r="I143" s="701"/>
      <c r="J143" s="631">
        <f>($D$89*$E$32+$D$90*$E$33)*$C$24*(1+J$108)</f>
        <v>875755.97241744702</v>
      </c>
      <c r="K143" s="631">
        <f>($E$89*$E$32+$E$90*$E$33)*$C$24*(1+K$108)</f>
        <v>885059.97615936666</v>
      </c>
      <c r="L143" s="631">
        <f>($E$89*$E$32+$E$90*$E$33)*$C$24*(1+L$108)</f>
        <v>894501.84456957201</v>
      </c>
      <c r="M143" s="631">
        <f>($E$89*$E$32+$E$90*$E$33)*$C$24*(1+M$108)</f>
        <v>904084.51822161814</v>
      </c>
      <c r="N143" s="631">
        <f>($E$89*$E$32+$E$90*$E$33)*$C$24*(1+N$108)</f>
        <v>914638.94450490677</v>
      </c>
      <c r="O143" s="631">
        <f>($E$89*$E$32+$E$90*$E$33)*$C$24*(1+O$108)</f>
        <v>925047.58492160332</v>
      </c>
    </row>
    <row r="144" spans="1:15" x14ac:dyDescent="0.25">
      <c r="A144" s="960"/>
      <c r="B144" s="985"/>
      <c r="C144" s="244" t="s">
        <v>521</v>
      </c>
      <c r="D144" s="701"/>
      <c r="E144" s="701"/>
      <c r="F144" s="701"/>
      <c r="G144" s="701"/>
      <c r="H144" s="701"/>
      <c r="I144" s="701"/>
      <c r="J144" s="701"/>
      <c r="K144" s="701"/>
      <c r="L144" s="631">
        <f>($D$94*$E$38+$D$95*$E$39+$D$96*$E$40+$D$97*$E$41)*$C$24*(1+L$108)</f>
        <v>1932028.2950191773</v>
      </c>
      <c r="M144" s="631">
        <f>($E$94*$E$38+$E$95*$E$39+$E$96*$E$40+$E$97*$E$41)*$C$24*(1+M$108)</f>
        <v>1952725.8450019802</v>
      </c>
      <c r="N144" s="631">
        <f>($E$94*$E$38+$E$95*$E$39+$E$96*$E$40+$E$97*$E$41)*$C$24*(1+N$108)</f>
        <v>1975522.2767151196</v>
      </c>
      <c r="O144" s="631">
        <f>($E$94*$E$38+$E$95*$E$39+$E$96*$E$40+$E$97*$E$41)*$C$24*(1+O$108)</f>
        <v>1998003.82655185</v>
      </c>
    </row>
    <row r="146" spans="1:15" s="698" customFormat="1" ht="30" customHeight="1" x14ac:dyDescent="0.25">
      <c r="A146" s="540" t="s">
        <v>282</v>
      </c>
      <c r="B146" s="540" t="s">
        <v>48</v>
      </c>
      <c r="C146" s="540"/>
      <c r="D146" s="181">
        <v>2021</v>
      </c>
      <c r="E146" s="181">
        <v>2022</v>
      </c>
      <c r="F146" s="181">
        <v>2023</v>
      </c>
      <c r="G146" s="181">
        <v>2024</v>
      </c>
      <c r="H146" s="181">
        <v>2025</v>
      </c>
      <c r="I146" s="181">
        <v>2026</v>
      </c>
      <c r="J146" s="181">
        <v>2027</v>
      </c>
      <c r="K146" s="181">
        <v>2028</v>
      </c>
      <c r="L146" s="181">
        <v>2029</v>
      </c>
      <c r="M146" s="181">
        <v>2030</v>
      </c>
      <c r="N146" s="181">
        <v>2031</v>
      </c>
      <c r="O146" s="181">
        <v>2032</v>
      </c>
    </row>
    <row r="147" spans="1:15" x14ac:dyDescent="0.25">
      <c r="A147" s="958" t="s">
        <v>280</v>
      </c>
      <c r="B147" s="978" t="s">
        <v>30</v>
      </c>
      <c r="C147" s="244" t="s">
        <v>81</v>
      </c>
      <c r="D147" s="631">
        <f>$H$69*$C$8*$C$14*$C$20*D$103/10^6*(1+D$105)</f>
        <v>0</v>
      </c>
      <c r="E147" s="631">
        <f>$H$69*$C$8*$C$14*$C$20*E$103/10^6*(1+E$105)</f>
        <v>0</v>
      </c>
      <c r="F147" s="631">
        <f t="shared" ref="F147:O147" si="43">$I$69*$C$8*$C$14*$C$20*F$103/10^6*(1+F$105)</f>
        <v>433635.04033630161</v>
      </c>
      <c r="G147" s="631">
        <f t="shared" si="43"/>
        <v>473194.71315402834</v>
      </c>
      <c r="H147" s="631">
        <f t="shared" si="43"/>
        <v>518138.05948996253</v>
      </c>
      <c r="I147" s="631">
        <f t="shared" si="43"/>
        <v>544369.10967258364</v>
      </c>
      <c r="J147" s="631">
        <f t="shared" si="43"/>
        <v>577569.08386098186</v>
      </c>
      <c r="K147" s="631">
        <f t="shared" si="43"/>
        <v>614313.44544443581</v>
      </c>
      <c r="L147" s="631">
        <f t="shared" si="43"/>
        <v>654818.92298463359</v>
      </c>
      <c r="M147" s="631">
        <f t="shared" si="43"/>
        <v>693810.50379408873</v>
      </c>
      <c r="N147" s="631">
        <f t="shared" si="43"/>
        <v>752981.30038399226</v>
      </c>
      <c r="O147" s="631">
        <f t="shared" si="43"/>
        <v>810172.08823524613</v>
      </c>
    </row>
    <row r="148" spans="1:15" x14ac:dyDescent="0.25">
      <c r="A148" s="959"/>
      <c r="B148" s="979"/>
      <c r="C148" s="244" t="s">
        <v>14</v>
      </c>
      <c r="D148" s="631">
        <f>$H$76*$C$9*$C$15*$C$20*D$103/10^6*(1+D$106)</f>
        <v>545549.10010193475</v>
      </c>
      <c r="E148" s="631">
        <f>$H$76*$C$9*$C$15*$C$20*E$103/10^6*(1+E$106)</f>
        <v>588938.01837730198</v>
      </c>
      <c r="F148" s="631">
        <f t="shared" ref="F148:O148" si="44">$I$76*$C$9*$C$15*$C$20*F$103/10^6*(1+F$106)</f>
        <v>885038.69928995112</v>
      </c>
      <c r="G148" s="631">
        <f t="shared" si="44"/>
        <v>964075.80318558495</v>
      </c>
      <c r="H148" s="631">
        <f t="shared" si="44"/>
        <v>1035689.2355363335</v>
      </c>
      <c r="I148" s="631">
        <f t="shared" si="44"/>
        <v>1101279.4035113177</v>
      </c>
      <c r="J148" s="631">
        <f t="shared" si="44"/>
        <v>1180651.412016911</v>
      </c>
      <c r="K148" s="631">
        <f t="shared" si="44"/>
        <v>1267058.7941017959</v>
      </c>
      <c r="L148" s="631">
        <f t="shared" si="44"/>
        <v>1361010.7285373933</v>
      </c>
      <c r="M148" s="631">
        <f t="shared" si="44"/>
        <v>1451505.1974695348</v>
      </c>
      <c r="N148" s="631">
        <f t="shared" si="44"/>
        <v>1558785.1299624778</v>
      </c>
      <c r="O148" s="631">
        <f t="shared" si="44"/>
        <v>1659587.8000363542</v>
      </c>
    </row>
    <row r="149" spans="1:15" x14ac:dyDescent="0.25">
      <c r="A149" s="959"/>
      <c r="B149" s="979"/>
      <c r="C149" s="244" t="s">
        <v>822</v>
      </c>
      <c r="D149" s="701"/>
      <c r="E149" s="701"/>
      <c r="F149" s="701"/>
      <c r="G149" s="701"/>
      <c r="H149" s="631">
        <f>$H$86*$C$10*$C$16*$C$20*H$103/10^6*(1+H$107)</f>
        <v>7913591.8074643146</v>
      </c>
      <c r="I149" s="631">
        <f t="shared" ref="I149:O149" si="45">$I$86*$C$10*$C$16*$C$20*I$103/10^6*(1+I$107)</f>
        <v>8743258.8885005508</v>
      </c>
      <c r="J149" s="631">
        <f t="shared" si="45"/>
        <v>9246191.6554643977</v>
      </c>
      <c r="K149" s="631">
        <f t="shared" si="45"/>
        <v>9788234.5833324883</v>
      </c>
      <c r="L149" s="631">
        <f t="shared" si="45"/>
        <v>10371380.617940482</v>
      </c>
      <c r="M149" s="631">
        <f t="shared" si="45"/>
        <v>10910937.363751218</v>
      </c>
      <c r="N149" s="631">
        <f t="shared" si="45"/>
        <v>11568540.501794569</v>
      </c>
      <c r="O149" s="631">
        <f t="shared" si="45"/>
        <v>12152300.292444037</v>
      </c>
    </row>
    <row r="150" spans="1:15" ht="30" x14ac:dyDescent="0.25">
      <c r="A150" s="959"/>
      <c r="B150" s="979"/>
      <c r="C150" s="485" t="s">
        <v>520</v>
      </c>
      <c r="D150" s="701"/>
      <c r="E150" s="701"/>
      <c r="F150" s="701"/>
      <c r="G150" s="701"/>
      <c r="H150" s="701"/>
      <c r="I150" s="701"/>
      <c r="J150" s="631">
        <f>$H$91*$C$11*$C$17*$C$20*J$103/10^6*(1+J$108)</f>
        <v>6308320.9952849261</v>
      </c>
      <c r="K150" s="631">
        <f>$I$91*$C$11*$C$17*$C$20*K$103/10^6*(1+K$108)</f>
        <v>6907018.8845389625</v>
      </c>
      <c r="L150" s="631">
        <f>$I$91*$C$11*$C$17*$C$20*L$103/10^6*(1+L$108)</f>
        <v>7232126.9784408575</v>
      </c>
      <c r="M150" s="631">
        <f>$I$91*$C$11*$C$17*$C$20*M$103/10^6*(1+M$108)</f>
        <v>7518876.6562077347</v>
      </c>
      <c r="N150" s="631">
        <f>$I$91*$C$11*$C$17*$C$20*N$103/10^6*(1+N$108)</f>
        <v>7878859.4948292943</v>
      </c>
      <c r="O150" s="631">
        <f>$I$91*$C$11*$C$17*$C$20*O$103/10^6*(1+O$108)</f>
        <v>8182646.6734519126</v>
      </c>
    </row>
    <row r="151" spans="1:15" x14ac:dyDescent="0.25">
      <c r="A151" s="960"/>
      <c r="B151" s="980"/>
      <c r="C151" s="244" t="s">
        <v>521</v>
      </c>
      <c r="D151" s="701"/>
      <c r="E151" s="701"/>
      <c r="F151" s="701"/>
      <c r="G151" s="701"/>
      <c r="H151" s="701"/>
      <c r="I151" s="701"/>
      <c r="J151" s="701"/>
      <c r="K151" s="701"/>
      <c r="L151" s="631">
        <f>$H$98*$C$11*$C$17*$C$20*L$103/10^6*(1+L$108)</f>
        <v>9814802.50662251</v>
      </c>
      <c r="M151" s="631">
        <f>$I$98*$C$11*$C$17*$C$20*M$103/10^6*(1+M$108)</f>
        <v>10679219.447594298</v>
      </c>
      <c r="N151" s="631">
        <f>$I$98*$C$11*$C$17*$C$20*N$103/10^6*(1+N$108)</f>
        <v>11190510.682546739</v>
      </c>
      <c r="O151" s="631">
        <f>$I$98*$C$11*$C$17*$C$20*O$103/10^6*(1+O$108)</f>
        <v>11621986.033748036</v>
      </c>
    </row>
    <row r="152" spans="1:15" x14ac:dyDescent="0.25">
      <c r="A152" s="958" t="s">
        <v>281</v>
      </c>
      <c r="B152" s="702" t="s">
        <v>59</v>
      </c>
      <c r="C152" s="244" t="s">
        <v>81</v>
      </c>
      <c r="D152" s="631">
        <f>$H$69*$C$8*$C$14*D104*$C$21*(1+D$105)</f>
        <v>0</v>
      </c>
      <c r="E152" s="631">
        <f>$H$69*$C$8*$C$14*E104*$C$21*(1+E$105)</f>
        <v>0</v>
      </c>
      <c r="F152" s="631">
        <f t="shared" ref="F152:O152" si="46">$I$69*$C$8*$C$14*F104*$C$21*(1+F$105)</f>
        <v>163044.63602703571</v>
      </c>
      <c r="G152" s="631">
        <f t="shared" si="46"/>
        <v>168196.6248226295</v>
      </c>
      <c r="H152" s="631">
        <f t="shared" si="46"/>
        <v>169088.42447419529</v>
      </c>
      <c r="I152" s="631">
        <f t="shared" si="46"/>
        <v>174923.38409605582</v>
      </c>
      <c r="J152" s="631">
        <f t="shared" si="46"/>
        <v>181702.80516471848</v>
      </c>
      <c r="K152" s="631">
        <f t="shared" si="46"/>
        <v>188798.36811102653</v>
      </c>
      <c r="L152" s="631">
        <f t="shared" si="46"/>
        <v>196656.39555962515</v>
      </c>
      <c r="M152" s="631">
        <f t="shared" si="46"/>
        <v>204779.38741264553</v>
      </c>
      <c r="N152" s="631">
        <f t="shared" si="46"/>
        <v>218564.30463915807</v>
      </c>
      <c r="O152" s="631">
        <f t="shared" si="46"/>
        <v>233200.92877585857</v>
      </c>
    </row>
    <row r="153" spans="1:15" x14ac:dyDescent="0.25">
      <c r="A153" s="959"/>
      <c r="B153" s="979" t="s">
        <v>31</v>
      </c>
      <c r="C153" s="244" t="s">
        <v>14</v>
      </c>
      <c r="D153" s="631">
        <f>$H$76*$C$9*$C$15*D104*$C$21*(1+D$106)</f>
        <v>226428.86156941182</v>
      </c>
      <c r="E153" s="631">
        <f>$H$76*$C$9*$C$15*E104*$C$21*(1+E$106)</f>
        <v>232374.18131350263</v>
      </c>
      <c r="F153" s="631">
        <f t="shared" ref="F153:O153" si="47">$I$76*$C$9*$C$15*F104*$C$21*(1+F$106)</f>
        <v>332770.18500087084</v>
      </c>
      <c r="G153" s="631">
        <f t="shared" si="47"/>
        <v>342679.85601140605</v>
      </c>
      <c r="H153" s="631">
        <f t="shared" si="47"/>
        <v>337985.3262547584</v>
      </c>
      <c r="I153" s="631">
        <f t="shared" si="47"/>
        <v>353876.6558840021</v>
      </c>
      <c r="J153" s="631">
        <f t="shared" si="47"/>
        <v>371432.0580510752</v>
      </c>
      <c r="K153" s="631">
        <f t="shared" si="47"/>
        <v>389408.10168020549</v>
      </c>
      <c r="L153" s="631">
        <f t="shared" si="47"/>
        <v>408741.18752127764</v>
      </c>
      <c r="M153" s="631">
        <f t="shared" si="47"/>
        <v>428414.30554688995</v>
      </c>
      <c r="N153" s="631">
        <f t="shared" si="47"/>
        <v>452461.15386712394</v>
      </c>
      <c r="O153" s="631">
        <f t="shared" si="47"/>
        <v>477697.79035041889</v>
      </c>
    </row>
    <row r="154" spans="1:15" x14ac:dyDescent="0.25">
      <c r="A154" s="959"/>
      <c r="B154" s="979"/>
      <c r="C154" s="244" t="s">
        <v>822</v>
      </c>
      <c r="D154" s="701"/>
      <c r="E154" s="701"/>
      <c r="F154" s="701"/>
      <c r="G154" s="701"/>
      <c r="H154" s="631">
        <f>$H$86*$C$10*$C$16*H104*$C$21*(1+H$107)</f>
        <v>2582510.0977396211</v>
      </c>
      <c r="I154" s="631">
        <f t="shared" ref="I154:O154" si="48">$I$86*$C$10*$C$16*I104*$C$21*(1+I$107)</f>
        <v>2809491.585083345</v>
      </c>
      <c r="J154" s="631">
        <f t="shared" si="48"/>
        <v>2908845.0331473686</v>
      </c>
      <c r="K154" s="631">
        <f t="shared" si="48"/>
        <v>3008240.7111960864</v>
      </c>
      <c r="L154" s="631">
        <f t="shared" si="48"/>
        <v>3114751.6629555239</v>
      </c>
      <c r="M154" s="631">
        <f t="shared" si="48"/>
        <v>3220382.3050073525</v>
      </c>
      <c r="N154" s="631">
        <f t="shared" si="48"/>
        <v>3357945.2891794816</v>
      </c>
      <c r="O154" s="631">
        <f t="shared" si="48"/>
        <v>3497933.0393053624</v>
      </c>
    </row>
    <row r="155" spans="1:15" ht="30" x14ac:dyDescent="0.25">
      <c r="A155" s="959"/>
      <c r="B155" s="979"/>
      <c r="C155" s="485" t="s">
        <v>520</v>
      </c>
      <c r="D155" s="701"/>
      <c r="E155" s="701"/>
      <c r="F155" s="701"/>
      <c r="G155" s="701"/>
      <c r="H155" s="701"/>
      <c r="I155" s="701"/>
      <c r="J155" s="631">
        <f>$H$91*$C$11*$C$17*J104*$C$21*(1+J$108)</f>
        <v>1984593.1036687109</v>
      </c>
      <c r="K155" s="631">
        <f>$I$91*$C$11*$C$17*K104*$C$21*(1+K$108)</f>
        <v>2122750.0449214047</v>
      </c>
      <c r="L155" s="631">
        <f>$I$91*$C$11*$C$17*L104*$C$21*(1+L$108)</f>
        <v>2171965.3691850882</v>
      </c>
      <c r="M155" s="631">
        <f>$I$91*$C$11*$C$17*M104*$C$21*(1+M$108)</f>
        <v>2219209.636160857</v>
      </c>
      <c r="N155" s="631">
        <f>$I$91*$C$11*$C$17*N104*$C$21*(1+N$108)</f>
        <v>2286959.1130069476</v>
      </c>
      <c r="O155" s="631">
        <f>$I$91*$C$11*$C$17*O104*$C$21*(1+O$108)</f>
        <v>2355303.0668462124</v>
      </c>
    </row>
    <row r="156" spans="1:15" x14ac:dyDescent="0.25">
      <c r="A156" s="960"/>
      <c r="B156" s="980"/>
      <c r="C156" s="244" t="s">
        <v>521</v>
      </c>
      <c r="D156" s="701"/>
      <c r="E156" s="701"/>
      <c r="F156" s="701"/>
      <c r="G156" s="701"/>
      <c r="H156" s="701"/>
      <c r="I156" s="701"/>
      <c r="J156" s="701"/>
      <c r="K156" s="701"/>
      <c r="L156" s="631">
        <f>$H$98*$C$11*$C$17*L104*$C$21*(1+L$108)</f>
        <v>2947599.124479258</v>
      </c>
      <c r="M156" s="631">
        <f>$I$98*$C$11*$C$17*L104*$C$21*(1+M$108)</f>
        <v>3117936.3033807417</v>
      </c>
      <c r="N156" s="631">
        <f>$I$98*$C$11*$C$17*M104*$C$21*(1+N$108)</f>
        <v>3188787.1916460004</v>
      </c>
      <c r="O156" s="631">
        <f>$I$98*$C$11*$C$17*N104*$C$21*(1+O$108)</f>
        <v>3285181.2466837871</v>
      </c>
    </row>
    <row r="158" spans="1:15" x14ac:dyDescent="0.25">
      <c r="A158" s="346" t="s">
        <v>156</v>
      </c>
    </row>
    <row r="159" spans="1:15" x14ac:dyDescent="0.25">
      <c r="A159" s="133" t="s">
        <v>467</v>
      </c>
    </row>
    <row r="160" spans="1:15" x14ac:dyDescent="0.25">
      <c r="A160" s="703" t="s">
        <v>851</v>
      </c>
    </row>
    <row r="161" spans="1:15" x14ac:dyDescent="0.25">
      <c r="A161" s="703" t="s">
        <v>852</v>
      </c>
    </row>
    <row r="162" spans="1:15" x14ac:dyDescent="0.25">
      <c r="A162" s="133" t="s">
        <v>468</v>
      </c>
    </row>
    <row r="163" spans="1:15" x14ac:dyDescent="0.25">
      <c r="A163" s="133" t="s">
        <v>469</v>
      </c>
    </row>
    <row r="165" spans="1:15" ht="15.75" x14ac:dyDescent="0.25">
      <c r="A165" s="652" t="s">
        <v>227</v>
      </c>
    </row>
    <row r="166" spans="1:15" ht="15" customHeight="1" x14ac:dyDescent="0.25">
      <c r="A166" s="918" t="s">
        <v>895</v>
      </c>
      <c r="B166" s="918"/>
      <c r="C166" s="918"/>
      <c r="D166" s="181">
        <v>2021</v>
      </c>
      <c r="E166" s="181">
        <v>2022</v>
      </c>
      <c r="F166" s="181">
        <v>2023</v>
      </c>
      <c r="G166" s="181">
        <v>2024</v>
      </c>
      <c r="H166" s="181">
        <v>2025</v>
      </c>
      <c r="I166" s="181">
        <v>2026</v>
      </c>
      <c r="J166" s="181">
        <v>2027</v>
      </c>
      <c r="K166" s="181">
        <v>2028</v>
      </c>
      <c r="L166" s="181">
        <v>2029</v>
      </c>
      <c r="M166" s="181">
        <v>2030</v>
      </c>
      <c r="N166" s="181">
        <v>2031</v>
      </c>
      <c r="O166" s="181">
        <v>2032</v>
      </c>
    </row>
    <row r="167" spans="1:15" x14ac:dyDescent="0.25">
      <c r="A167" s="954" t="s">
        <v>81</v>
      </c>
      <c r="B167" s="954"/>
      <c r="C167" s="954"/>
      <c r="D167" s="631">
        <f t="shared" ref="D167:O167" si="49">D112+D116+D118+D115</f>
        <v>569281.77393394313</v>
      </c>
      <c r="E167" s="631">
        <f t="shared" si="49"/>
        <v>590268.92200560612</v>
      </c>
      <c r="F167" s="631">
        <f t="shared" si="49"/>
        <v>884764.77681608661</v>
      </c>
      <c r="G167" s="631">
        <f t="shared" si="49"/>
        <v>920462.47497865674</v>
      </c>
      <c r="H167" s="631">
        <f t="shared" si="49"/>
        <v>975965.43855884776</v>
      </c>
      <c r="I167" s="631">
        <f t="shared" si="49"/>
        <v>999252.79205136385</v>
      </c>
      <c r="J167" s="631">
        <f t="shared" si="49"/>
        <v>1026259.5042055845</v>
      </c>
      <c r="K167" s="631">
        <f t="shared" si="49"/>
        <v>1056505.5169111257</v>
      </c>
      <c r="L167" s="631">
        <f t="shared" si="49"/>
        <v>1091100.0311682241</v>
      </c>
      <c r="M167" s="631">
        <f t="shared" si="49"/>
        <v>1127959.4825561601</v>
      </c>
      <c r="N167" s="631">
        <f t="shared" si="49"/>
        <v>1183464.0943802528</v>
      </c>
      <c r="O167" s="631">
        <f t="shared" si="49"/>
        <v>1241707.5524952449</v>
      </c>
    </row>
    <row r="168" spans="1:15" ht="15.75" thickBot="1" x14ac:dyDescent="0.3">
      <c r="A168" s="909" t="s">
        <v>14</v>
      </c>
      <c r="B168" s="910"/>
      <c r="C168" s="911"/>
      <c r="D168" s="639">
        <f>D113+D114+D117+D119</f>
        <v>784889.10640932177</v>
      </c>
      <c r="E168" s="639">
        <f t="shared" ref="E168:N168" si="50">E113+E114+E117+E119</f>
        <v>810786.17354748002</v>
      </c>
      <c r="F168" s="639">
        <f t="shared" si="50"/>
        <v>1284498.9931061361</v>
      </c>
      <c r="G168" s="639">
        <f t="shared" si="50"/>
        <v>1334298.6654819096</v>
      </c>
      <c r="H168" s="639">
        <f t="shared" si="50"/>
        <v>1388708.2949468081</v>
      </c>
      <c r="I168" s="639">
        <f t="shared" si="50"/>
        <v>1438919.4272579171</v>
      </c>
      <c r="J168" s="639">
        <f t="shared" si="50"/>
        <v>1493453.4002293872</v>
      </c>
      <c r="K168" s="639">
        <f t="shared" si="50"/>
        <v>1551729.2934995422</v>
      </c>
      <c r="L168" s="639">
        <f t="shared" si="50"/>
        <v>1615792.3517037944</v>
      </c>
      <c r="M168" s="639">
        <f t="shared" si="50"/>
        <v>1682229.0532104771</v>
      </c>
      <c r="N168" s="639">
        <f t="shared" si="50"/>
        <v>1746860.6126661175</v>
      </c>
      <c r="O168" s="639">
        <f>O113+O114+O117+O119</f>
        <v>1813970.9510996738</v>
      </c>
    </row>
    <row r="169" spans="1:15" ht="15.75" thickTop="1" x14ac:dyDescent="0.25">
      <c r="A169" s="973" t="s">
        <v>75</v>
      </c>
      <c r="B169" s="974"/>
      <c r="C169" s="975"/>
      <c r="D169" s="641">
        <f t="shared" ref="D169:O169" si="51">SUM(D167:D168)</f>
        <v>1354170.8803432649</v>
      </c>
      <c r="E169" s="641">
        <f t="shared" si="51"/>
        <v>1401055.0955530861</v>
      </c>
      <c r="F169" s="641">
        <f t="shared" si="51"/>
        <v>2169263.7699222229</v>
      </c>
      <c r="G169" s="641">
        <f t="shared" si="51"/>
        <v>2254761.1404605666</v>
      </c>
      <c r="H169" s="641">
        <f t="shared" si="51"/>
        <v>2364673.733505656</v>
      </c>
      <c r="I169" s="641">
        <f t="shared" si="51"/>
        <v>2438172.2193092811</v>
      </c>
      <c r="J169" s="641">
        <f t="shared" si="51"/>
        <v>2519712.9044349715</v>
      </c>
      <c r="K169" s="641">
        <f t="shared" si="51"/>
        <v>2608234.8104106681</v>
      </c>
      <c r="L169" s="641">
        <f t="shared" si="51"/>
        <v>2706892.3828720185</v>
      </c>
      <c r="M169" s="641">
        <f t="shared" si="51"/>
        <v>2810188.535766637</v>
      </c>
      <c r="N169" s="641">
        <f t="shared" si="51"/>
        <v>2930324.70704637</v>
      </c>
      <c r="O169" s="641">
        <f t="shared" si="51"/>
        <v>3055678.5035949186</v>
      </c>
    </row>
    <row r="170" spans="1:15" x14ac:dyDescent="0.25">
      <c r="A170" s="342" t="s">
        <v>899</v>
      </c>
      <c r="B170" s="342"/>
    </row>
    <row r="171" spans="1:15" x14ac:dyDescent="0.25">
      <c r="A171" s="342"/>
      <c r="B171" s="342"/>
    </row>
    <row r="172" spans="1:15" ht="15" customHeight="1" x14ac:dyDescent="0.25">
      <c r="A172" s="918" t="s">
        <v>896</v>
      </c>
      <c r="B172" s="918"/>
      <c r="C172" s="918"/>
      <c r="D172" s="181">
        <v>2021</v>
      </c>
      <c r="E172" s="181">
        <v>2022</v>
      </c>
      <c r="F172" s="181">
        <v>2023</v>
      </c>
      <c r="G172" s="181">
        <v>2024</v>
      </c>
      <c r="H172" s="181">
        <v>2025</v>
      </c>
      <c r="I172" s="181">
        <v>2026</v>
      </c>
      <c r="J172" s="181">
        <v>2027</v>
      </c>
      <c r="K172" s="181">
        <v>2028</v>
      </c>
      <c r="L172" s="181">
        <v>2029</v>
      </c>
      <c r="M172" s="181">
        <v>2030</v>
      </c>
      <c r="N172" s="181">
        <v>2031</v>
      </c>
      <c r="O172" s="181">
        <v>2032</v>
      </c>
    </row>
    <row r="173" spans="1:15" x14ac:dyDescent="0.25">
      <c r="A173" s="954" t="s">
        <v>81</v>
      </c>
      <c r="B173" s="954"/>
      <c r="C173" s="954"/>
      <c r="D173" s="631">
        <f>D122+D124</f>
        <v>0</v>
      </c>
      <c r="E173" s="631">
        <f t="shared" ref="E173:O173" si="52">E122+E124</f>
        <v>0</v>
      </c>
      <c r="F173" s="631">
        <f t="shared" si="52"/>
        <v>596679.67636333732</v>
      </c>
      <c r="G173" s="631">
        <f t="shared" si="52"/>
        <v>641391.33797665779</v>
      </c>
      <c r="H173" s="631">
        <f t="shared" si="52"/>
        <v>687226.48396415776</v>
      </c>
      <c r="I173" s="631">
        <f t="shared" si="52"/>
        <v>719292.4937686394</v>
      </c>
      <c r="J173" s="631">
        <f t="shared" si="52"/>
        <v>759271.88902570028</v>
      </c>
      <c r="K173" s="631">
        <f t="shared" si="52"/>
        <v>803111.81355546229</v>
      </c>
      <c r="L173" s="631">
        <f t="shared" si="52"/>
        <v>851475.31854425871</v>
      </c>
      <c r="M173" s="631">
        <f t="shared" si="52"/>
        <v>898589.89120673423</v>
      </c>
      <c r="N173" s="631">
        <f t="shared" si="52"/>
        <v>971545.60502315033</v>
      </c>
      <c r="O173" s="631">
        <f t="shared" si="52"/>
        <v>1043373.0170111047</v>
      </c>
    </row>
    <row r="174" spans="1:15" ht="15.75" thickBot="1" x14ac:dyDescent="0.3">
      <c r="A174" s="909" t="s">
        <v>14</v>
      </c>
      <c r="B174" s="910"/>
      <c r="C174" s="911"/>
      <c r="D174" s="639">
        <f>D123+D125</f>
        <v>771977.96167134657</v>
      </c>
      <c r="E174" s="639">
        <f t="shared" ref="E174:O174" si="53">E123+E125</f>
        <v>821312.19969080458</v>
      </c>
      <c r="F174" s="639">
        <f t="shared" si="53"/>
        <v>1217808.8842908219</v>
      </c>
      <c r="G174" s="639">
        <f t="shared" si="53"/>
        <v>1306755.659196991</v>
      </c>
      <c r="H174" s="639">
        <f t="shared" si="53"/>
        <v>1373674.5617910919</v>
      </c>
      <c r="I174" s="639">
        <f t="shared" si="53"/>
        <v>1455156.0593953198</v>
      </c>
      <c r="J174" s="639">
        <f t="shared" si="53"/>
        <v>1552083.4700679863</v>
      </c>
      <c r="K174" s="639">
        <f t="shared" si="53"/>
        <v>1656466.8957820013</v>
      </c>
      <c r="L174" s="639">
        <f t="shared" si="53"/>
        <v>1769751.916058671</v>
      </c>
      <c r="M174" s="639">
        <f t="shared" si="53"/>
        <v>1879919.5030164248</v>
      </c>
      <c r="N174" s="639">
        <f t="shared" si="53"/>
        <v>2011246.2838296017</v>
      </c>
      <c r="O174" s="639">
        <f t="shared" si="53"/>
        <v>2137285.590386773</v>
      </c>
    </row>
    <row r="175" spans="1:15" ht="15.75" thickTop="1" x14ac:dyDescent="0.25">
      <c r="A175" s="973" t="s">
        <v>75</v>
      </c>
      <c r="B175" s="974"/>
      <c r="C175" s="975"/>
      <c r="D175" s="641">
        <f t="shared" ref="D175:O175" si="54">SUM(D173:D174)</f>
        <v>771977.96167134657</v>
      </c>
      <c r="E175" s="641">
        <f t="shared" si="54"/>
        <v>821312.19969080458</v>
      </c>
      <c r="F175" s="641">
        <f t="shared" si="54"/>
        <v>1814488.5606541592</v>
      </c>
      <c r="G175" s="641">
        <f t="shared" si="54"/>
        <v>1948146.9971736488</v>
      </c>
      <c r="H175" s="641">
        <f t="shared" si="54"/>
        <v>2060901.0457552497</v>
      </c>
      <c r="I175" s="641">
        <f t="shared" si="54"/>
        <v>2174448.5531639592</v>
      </c>
      <c r="J175" s="641">
        <f t="shared" si="54"/>
        <v>2311355.3590936866</v>
      </c>
      <c r="K175" s="641">
        <f t="shared" si="54"/>
        <v>2459578.7093374636</v>
      </c>
      <c r="L175" s="641">
        <f t="shared" si="54"/>
        <v>2621227.2346029296</v>
      </c>
      <c r="M175" s="641">
        <f t="shared" si="54"/>
        <v>2778509.3942231592</v>
      </c>
      <c r="N175" s="641">
        <f t="shared" si="54"/>
        <v>2982791.8888527518</v>
      </c>
      <c r="O175" s="641">
        <f t="shared" si="54"/>
        <v>3180658.6073978776</v>
      </c>
    </row>
    <row r="177" spans="1:15" ht="15" customHeight="1" x14ac:dyDescent="0.25">
      <c r="A177" s="918" t="s">
        <v>897</v>
      </c>
      <c r="B177" s="918"/>
      <c r="C177" s="918"/>
      <c r="D177" s="181">
        <v>2021</v>
      </c>
      <c r="E177" s="181">
        <v>2022</v>
      </c>
      <c r="F177" s="181">
        <v>2023</v>
      </c>
      <c r="G177" s="181">
        <v>2024</v>
      </c>
      <c r="H177" s="181">
        <v>2025</v>
      </c>
      <c r="I177" s="181">
        <v>2026</v>
      </c>
      <c r="J177" s="181">
        <v>2027</v>
      </c>
      <c r="K177" s="181">
        <v>2028</v>
      </c>
      <c r="L177" s="181">
        <v>2029</v>
      </c>
      <c r="M177" s="181">
        <v>2030</v>
      </c>
      <c r="N177" s="181">
        <v>2031</v>
      </c>
      <c r="O177" s="181">
        <v>2032</v>
      </c>
    </row>
    <row r="178" spans="1:15" x14ac:dyDescent="0.25">
      <c r="A178" s="954" t="s">
        <v>294</v>
      </c>
      <c r="B178" s="954"/>
      <c r="C178" s="954"/>
      <c r="D178" s="631">
        <f t="shared" ref="D178:O178" si="55">SUM(D112:D114,D115)</f>
        <v>629602.51772046508</v>
      </c>
      <c r="E178" s="631">
        <f t="shared" si="55"/>
        <v>649783.95138875232</v>
      </c>
      <c r="F178" s="631">
        <f t="shared" si="55"/>
        <v>1389754.7827689811</v>
      </c>
      <c r="G178" s="631">
        <f t="shared" si="55"/>
        <v>1445438.6819340626</v>
      </c>
      <c r="H178" s="631">
        <f t="shared" si="55"/>
        <v>1512853.6886306941</v>
      </c>
      <c r="I178" s="631">
        <f t="shared" si="55"/>
        <v>1563328.2962287958</v>
      </c>
      <c r="J178" s="631">
        <f t="shared" si="55"/>
        <v>1620052.4567680252</v>
      </c>
      <c r="K178" s="631">
        <f t="shared" si="55"/>
        <v>1681993.1148095536</v>
      </c>
      <c r="L178" s="631">
        <f t="shared" si="55"/>
        <v>1752316.1287827746</v>
      </c>
      <c r="M178" s="631">
        <f t="shared" si="55"/>
        <v>1825522.2295771386</v>
      </c>
      <c r="N178" s="631">
        <f t="shared" si="55"/>
        <v>1900963.6553123507</v>
      </c>
      <c r="O178" s="631">
        <f t="shared" si="55"/>
        <v>1979567.0103066857</v>
      </c>
    </row>
    <row r="179" spans="1:15" ht="15.75" thickBot="1" x14ac:dyDescent="0.3">
      <c r="A179" s="909" t="s">
        <v>295</v>
      </c>
      <c r="B179" s="910"/>
      <c r="C179" s="911"/>
      <c r="D179" s="639">
        <f>SUM(D116:D119)</f>
        <v>724568.3626227997</v>
      </c>
      <c r="E179" s="639">
        <f t="shared" ref="E179:O179" si="56">SUM(E116:E119)</f>
        <v>751271.14416433382</v>
      </c>
      <c r="F179" s="639">
        <f t="shared" si="56"/>
        <v>779508.98715324188</v>
      </c>
      <c r="G179" s="639">
        <f t="shared" si="56"/>
        <v>809322.45852650364</v>
      </c>
      <c r="H179" s="639">
        <f t="shared" si="56"/>
        <v>851820.04487496195</v>
      </c>
      <c r="I179" s="639">
        <f t="shared" si="56"/>
        <v>874843.92308048531</v>
      </c>
      <c r="J179" s="639">
        <f t="shared" si="56"/>
        <v>899660.44766694657</v>
      </c>
      <c r="K179" s="639">
        <f t="shared" si="56"/>
        <v>926241.69560111407</v>
      </c>
      <c r="L179" s="639">
        <f t="shared" si="56"/>
        <v>954576.25408924394</v>
      </c>
      <c r="M179" s="639">
        <f t="shared" si="56"/>
        <v>984666.3061894984</v>
      </c>
      <c r="N179" s="639">
        <f t="shared" si="56"/>
        <v>1029361.0517340193</v>
      </c>
      <c r="O179" s="639">
        <f t="shared" si="56"/>
        <v>1076111.4932882329</v>
      </c>
    </row>
    <row r="180" spans="1:15" ht="15.75" thickTop="1" x14ac:dyDescent="0.25">
      <c r="A180" s="973" t="s">
        <v>75</v>
      </c>
      <c r="B180" s="974"/>
      <c r="C180" s="975"/>
      <c r="D180" s="641">
        <f t="shared" ref="D180:O180" si="57">SUM(D178:D179)</f>
        <v>1354170.8803432649</v>
      </c>
      <c r="E180" s="641">
        <f t="shared" si="57"/>
        <v>1401055.0955530861</v>
      </c>
      <c r="F180" s="641">
        <f t="shared" si="57"/>
        <v>2169263.7699222229</v>
      </c>
      <c r="G180" s="641">
        <f t="shared" si="57"/>
        <v>2254761.1404605662</v>
      </c>
      <c r="H180" s="641">
        <f t="shared" si="57"/>
        <v>2364673.733505656</v>
      </c>
      <c r="I180" s="641">
        <f t="shared" si="57"/>
        <v>2438172.2193092811</v>
      </c>
      <c r="J180" s="641">
        <f t="shared" si="57"/>
        <v>2519712.9044349715</v>
      </c>
      <c r="K180" s="641">
        <f t="shared" si="57"/>
        <v>2608234.8104106677</v>
      </c>
      <c r="L180" s="641">
        <f t="shared" si="57"/>
        <v>2706892.3828720185</v>
      </c>
      <c r="M180" s="641">
        <f t="shared" si="57"/>
        <v>2810188.535766637</v>
      </c>
      <c r="N180" s="641">
        <f t="shared" si="57"/>
        <v>2930324.70704637</v>
      </c>
      <c r="O180" s="641">
        <f t="shared" si="57"/>
        <v>3055678.5035949186</v>
      </c>
    </row>
    <row r="182" spans="1:15" ht="15" customHeight="1" x14ac:dyDescent="0.25">
      <c r="A182" s="918" t="s">
        <v>898</v>
      </c>
      <c r="B182" s="918"/>
      <c r="C182" s="918"/>
      <c r="D182" s="181">
        <v>2021</v>
      </c>
      <c r="E182" s="181">
        <v>2022</v>
      </c>
      <c r="F182" s="181">
        <v>2023</v>
      </c>
      <c r="G182" s="181">
        <v>2024</v>
      </c>
      <c r="H182" s="181">
        <v>2025</v>
      </c>
      <c r="I182" s="181">
        <v>2026</v>
      </c>
      <c r="J182" s="181">
        <v>2027</v>
      </c>
      <c r="K182" s="181">
        <v>2028</v>
      </c>
      <c r="L182" s="181">
        <v>2029</v>
      </c>
      <c r="M182" s="181">
        <v>2030</v>
      </c>
      <c r="N182" s="181">
        <v>2031</v>
      </c>
      <c r="O182" s="181">
        <v>2032</v>
      </c>
    </row>
    <row r="183" spans="1:15" x14ac:dyDescent="0.25">
      <c r="A183" s="954" t="s">
        <v>296</v>
      </c>
      <c r="B183" s="954"/>
      <c r="C183" s="954"/>
      <c r="D183" s="631">
        <f>SUM(D122:D123)</f>
        <v>545549.10010193475</v>
      </c>
      <c r="E183" s="631">
        <f t="shared" ref="E183:O183" si="58">SUM(E122:E123)</f>
        <v>588938.01837730198</v>
      </c>
      <c r="F183" s="631">
        <f t="shared" si="58"/>
        <v>1318673.7396262528</v>
      </c>
      <c r="G183" s="631">
        <f t="shared" si="58"/>
        <v>1437270.5163396134</v>
      </c>
      <c r="H183" s="631">
        <f t="shared" si="58"/>
        <v>1553827.2950262961</v>
      </c>
      <c r="I183" s="631">
        <f t="shared" si="58"/>
        <v>1645648.5131839013</v>
      </c>
      <c r="J183" s="631">
        <f t="shared" si="58"/>
        <v>1758220.4958778927</v>
      </c>
      <c r="K183" s="631">
        <f t="shared" si="58"/>
        <v>1881372.2395462317</v>
      </c>
      <c r="L183" s="631">
        <f t="shared" si="58"/>
        <v>2015829.6515220269</v>
      </c>
      <c r="M183" s="631">
        <f t="shared" si="58"/>
        <v>2145315.7012636233</v>
      </c>
      <c r="N183" s="631">
        <f t="shared" si="58"/>
        <v>2311766.4303464703</v>
      </c>
      <c r="O183" s="631">
        <f t="shared" si="58"/>
        <v>2469759.8882716005</v>
      </c>
    </row>
    <row r="184" spans="1:15" ht="15.75" thickBot="1" x14ac:dyDescent="0.3">
      <c r="A184" s="909" t="s">
        <v>297</v>
      </c>
      <c r="B184" s="910"/>
      <c r="C184" s="911"/>
      <c r="D184" s="639">
        <f>SUM(D124:D125)</f>
        <v>226428.86156941182</v>
      </c>
      <c r="E184" s="639">
        <f t="shared" ref="E184:O184" si="59">SUM(E124:E125)</f>
        <v>232374.18131350263</v>
      </c>
      <c r="F184" s="639">
        <f t="shared" si="59"/>
        <v>495814.82102790655</v>
      </c>
      <c r="G184" s="639">
        <f t="shared" si="59"/>
        <v>510876.48083403555</v>
      </c>
      <c r="H184" s="639">
        <f t="shared" si="59"/>
        <v>507073.75072895369</v>
      </c>
      <c r="I184" s="639">
        <f t="shared" si="59"/>
        <v>528800.03998005786</v>
      </c>
      <c r="J184" s="639">
        <f t="shared" si="59"/>
        <v>553134.86321579362</v>
      </c>
      <c r="K184" s="639">
        <f t="shared" si="59"/>
        <v>578206.46979123203</v>
      </c>
      <c r="L184" s="639">
        <f t="shared" si="59"/>
        <v>605397.58308090281</v>
      </c>
      <c r="M184" s="639">
        <f t="shared" si="59"/>
        <v>633193.69295953552</v>
      </c>
      <c r="N184" s="639">
        <f t="shared" si="59"/>
        <v>671025.45850628195</v>
      </c>
      <c r="O184" s="639">
        <f t="shared" si="59"/>
        <v>710898.71912627749</v>
      </c>
    </row>
    <row r="185" spans="1:15" ht="15.75" thickTop="1" x14ac:dyDescent="0.25">
      <c r="A185" s="973" t="s">
        <v>75</v>
      </c>
      <c r="B185" s="974"/>
      <c r="C185" s="975"/>
      <c r="D185" s="641">
        <f t="shared" ref="D185:O185" si="60">SUM(D183:D184)</f>
        <v>771977.96167134657</v>
      </c>
      <c r="E185" s="641">
        <f t="shared" si="60"/>
        <v>821312.19969080458</v>
      </c>
      <c r="F185" s="641">
        <f t="shared" si="60"/>
        <v>1814488.5606541594</v>
      </c>
      <c r="G185" s="641">
        <f t="shared" si="60"/>
        <v>1948146.9971736488</v>
      </c>
      <c r="H185" s="641">
        <f t="shared" si="60"/>
        <v>2060901.0457552497</v>
      </c>
      <c r="I185" s="641">
        <f t="shared" si="60"/>
        <v>2174448.5531639592</v>
      </c>
      <c r="J185" s="641">
        <f t="shared" si="60"/>
        <v>2311355.3590936866</v>
      </c>
      <c r="K185" s="641">
        <f t="shared" si="60"/>
        <v>2459578.7093374636</v>
      </c>
      <c r="L185" s="641">
        <f t="shared" si="60"/>
        <v>2621227.2346029296</v>
      </c>
      <c r="M185" s="641">
        <f t="shared" si="60"/>
        <v>2778509.3942231587</v>
      </c>
      <c r="N185" s="641">
        <f t="shared" si="60"/>
        <v>2982791.8888527523</v>
      </c>
      <c r="O185" s="641">
        <f t="shared" si="60"/>
        <v>3180658.6073978781</v>
      </c>
    </row>
    <row r="187" spans="1:15" x14ac:dyDescent="0.25">
      <c r="A187" s="918" t="s">
        <v>260</v>
      </c>
      <c r="B187" s="918"/>
      <c r="C187" s="918"/>
      <c r="D187" s="181">
        <v>2021</v>
      </c>
      <c r="E187" s="181">
        <v>2022</v>
      </c>
      <c r="F187" s="181">
        <v>2023</v>
      </c>
      <c r="G187" s="181">
        <v>2024</v>
      </c>
      <c r="H187" s="181">
        <v>2025</v>
      </c>
      <c r="I187" s="181">
        <v>2026</v>
      </c>
      <c r="J187" s="181">
        <v>2027</v>
      </c>
      <c r="K187" s="181">
        <v>2028</v>
      </c>
      <c r="L187" s="181">
        <v>2029</v>
      </c>
      <c r="M187" s="181">
        <v>2030</v>
      </c>
      <c r="N187" s="181">
        <v>2031</v>
      </c>
      <c r="O187" s="181">
        <v>2032</v>
      </c>
    </row>
    <row r="188" spans="1:15" x14ac:dyDescent="0.25">
      <c r="A188" s="954" t="s">
        <v>81</v>
      </c>
      <c r="B188" s="954"/>
      <c r="C188" s="954"/>
      <c r="D188" s="631">
        <f t="shared" ref="D188:O188" si="61">D128+D135+D140+D134</f>
        <v>597396.96850311791</v>
      </c>
      <c r="E188" s="631">
        <f t="shared" si="61"/>
        <v>619420.61164366279</v>
      </c>
      <c r="F188" s="631">
        <f t="shared" si="61"/>
        <v>915018.38397265889</v>
      </c>
      <c r="G188" s="631">
        <f t="shared" si="61"/>
        <v>951885.04316946515</v>
      </c>
      <c r="H188" s="631">
        <f t="shared" si="61"/>
        <v>1009172.2311077681</v>
      </c>
      <c r="I188" s="631">
        <f t="shared" si="61"/>
        <v>1033270.4785133541</v>
      </c>
      <c r="J188" s="631">
        <f t="shared" si="61"/>
        <v>1061164.6121916347</v>
      </c>
      <c r="K188" s="631">
        <f t="shared" si="61"/>
        <v>1092372.7530868498</v>
      </c>
      <c r="L188" s="631">
        <f t="shared" si="61"/>
        <v>1128003.0803819865</v>
      </c>
      <c r="M188" s="631">
        <f t="shared" si="61"/>
        <v>1165971.6624352783</v>
      </c>
      <c r="N188" s="631">
        <f t="shared" si="61"/>
        <v>1223292.8151698301</v>
      </c>
      <c r="O188" s="631">
        <f t="shared" si="61"/>
        <v>1283439.9547887032</v>
      </c>
    </row>
    <row r="189" spans="1:15" x14ac:dyDescent="0.25">
      <c r="A189" s="954" t="s">
        <v>14</v>
      </c>
      <c r="B189" s="954"/>
      <c r="C189" s="954"/>
      <c r="D189" s="631">
        <f>D129+D130+D136+D141</f>
        <v>784889.10640932177</v>
      </c>
      <c r="E189" s="631">
        <f t="shared" ref="E189:O189" si="62">E129+E130+E136+E141</f>
        <v>810786.17354748002</v>
      </c>
      <c r="F189" s="631">
        <f t="shared" si="62"/>
        <v>1284498.9931061361</v>
      </c>
      <c r="G189" s="631">
        <f t="shared" si="62"/>
        <v>1334298.6654819096</v>
      </c>
      <c r="H189" s="631">
        <f t="shared" si="62"/>
        <v>1388708.2949468081</v>
      </c>
      <c r="I189" s="631">
        <f t="shared" si="62"/>
        <v>1438919.4272579171</v>
      </c>
      <c r="J189" s="631">
        <f t="shared" si="62"/>
        <v>1493453.4002293872</v>
      </c>
      <c r="K189" s="631">
        <f t="shared" si="62"/>
        <v>1551729.2934995422</v>
      </c>
      <c r="L189" s="631">
        <f t="shared" si="62"/>
        <v>1615792.3517037944</v>
      </c>
      <c r="M189" s="631">
        <f t="shared" si="62"/>
        <v>1682229.0532104771</v>
      </c>
      <c r="N189" s="631">
        <f t="shared" si="62"/>
        <v>1746860.6126661175</v>
      </c>
      <c r="O189" s="631">
        <f t="shared" si="62"/>
        <v>1813970.9510996738</v>
      </c>
    </row>
    <row r="190" spans="1:15" x14ac:dyDescent="0.25">
      <c r="A190" s="954" t="s">
        <v>822</v>
      </c>
      <c r="B190" s="954"/>
      <c r="C190" s="954"/>
      <c r="D190" s="631">
        <f t="shared" ref="D190:G190" si="63">SUM(D131,D137,D142)</f>
        <v>0</v>
      </c>
      <c r="E190" s="631">
        <f t="shared" si="63"/>
        <v>0</v>
      </c>
      <c r="F190" s="631">
        <f t="shared" si="63"/>
        <v>0</v>
      </c>
      <c r="G190" s="631">
        <f t="shared" si="63"/>
        <v>0</v>
      </c>
      <c r="H190" s="631">
        <f>SUM(H131,H137,H142)</f>
        <v>7602041.3339835498</v>
      </c>
      <c r="I190" s="631">
        <f t="shared" ref="I190:O190" si="64">SUM(I131,I137,I142)</f>
        <v>8038627.4719587658</v>
      </c>
      <c r="J190" s="631">
        <f t="shared" si="64"/>
        <v>8236423.6404083725</v>
      </c>
      <c r="K190" s="631">
        <f t="shared" si="64"/>
        <v>8454901.4311899636</v>
      </c>
      <c r="L190" s="631">
        <f t="shared" si="64"/>
        <v>8711846.1904108804</v>
      </c>
      <c r="M190" s="631">
        <f t="shared" si="64"/>
        <v>8973921.4339129627</v>
      </c>
      <c r="N190" s="631">
        <f t="shared" si="64"/>
        <v>9210655.7723492607</v>
      </c>
      <c r="O190" s="631">
        <f t="shared" si="64"/>
        <v>9447411.5491365772</v>
      </c>
    </row>
    <row r="191" spans="1:15" ht="15.75" thickBot="1" x14ac:dyDescent="0.3">
      <c r="A191" s="909" t="s">
        <v>105</v>
      </c>
      <c r="B191" s="910"/>
      <c r="C191" s="911"/>
      <c r="D191" s="639">
        <f t="shared" ref="D191:I191" si="65">SUM(D132:D133,D138:D139,D143:D144)</f>
        <v>0</v>
      </c>
      <c r="E191" s="639">
        <f t="shared" si="65"/>
        <v>0</v>
      </c>
      <c r="F191" s="639">
        <f t="shared" si="65"/>
        <v>0</v>
      </c>
      <c r="G191" s="639">
        <f t="shared" si="65"/>
        <v>0</v>
      </c>
      <c r="H191" s="639">
        <f t="shared" si="65"/>
        <v>0</v>
      </c>
      <c r="I191" s="639">
        <f t="shared" si="65"/>
        <v>0</v>
      </c>
      <c r="J191" s="639">
        <f>SUM(J132:J133,J138:J139,J143:J144)</f>
        <v>4821507.8793739146</v>
      </c>
      <c r="K191" s="639">
        <f t="shared" ref="K191:O191" si="66">SUM(K132:K133,K138:K139,K143:K144)</f>
        <v>5059338.749675218</v>
      </c>
      <c r="L191" s="639">
        <f t="shared" si="66"/>
        <v>12244714.415920893</v>
      </c>
      <c r="M191" s="639">
        <f t="shared" si="66"/>
        <v>12725182.851643922</v>
      </c>
      <c r="N191" s="639">
        <f t="shared" si="66"/>
        <v>12914290.393475642</v>
      </c>
      <c r="O191" s="639">
        <f t="shared" si="66"/>
        <v>13102268.929943208</v>
      </c>
    </row>
    <row r="192" spans="1:15" ht="15.75" thickTop="1" x14ac:dyDescent="0.25">
      <c r="A192" s="973" t="s">
        <v>75</v>
      </c>
      <c r="B192" s="974"/>
      <c r="C192" s="975"/>
      <c r="D192" s="641">
        <f t="shared" ref="D192:O192" si="67">SUM(D188:D191)</f>
        <v>1382286.0749124396</v>
      </c>
      <c r="E192" s="641">
        <f t="shared" si="67"/>
        <v>1430206.7851911429</v>
      </c>
      <c r="F192" s="641">
        <f t="shared" si="67"/>
        <v>2199517.3770787949</v>
      </c>
      <c r="G192" s="641">
        <f t="shared" si="67"/>
        <v>2286183.708651375</v>
      </c>
      <c r="H192" s="641">
        <f t="shared" si="67"/>
        <v>9999921.8600381259</v>
      </c>
      <c r="I192" s="641">
        <f t="shared" si="67"/>
        <v>10510817.377730038</v>
      </c>
      <c r="J192" s="641">
        <f t="shared" si="67"/>
        <v>15612549.532203309</v>
      </c>
      <c r="K192" s="641">
        <f t="shared" si="67"/>
        <v>16158342.227451574</v>
      </c>
      <c r="L192" s="641">
        <f t="shared" si="67"/>
        <v>23700356.038417555</v>
      </c>
      <c r="M192" s="641">
        <f t="shared" si="67"/>
        <v>24547305.001202643</v>
      </c>
      <c r="N192" s="641">
        <f t="shared" si="67"/>
        <v>25095099.593660854</v>
      </c>
      <c r="O192" s="641">
        <f t="shared" si="67"/>
        <v>25647091.384968162</v>
      </c>
    </row>
    <row r="194" spans="1:15" x14ac:dyDescent="0.25">
      <c r="A194" s="918" t="s">
        <v>301</v>
      </c>
      <c r="B194" s="918"/>
      <c r="C194" s="918"/>
      <c r="D194" s="181">
        <v>2021</v>
      </c>
      <c r="E194" s="181">
        <v>2022</v>
      </c>
      <c r="F194" s="181">
        <v>2023</v>
      </c>
      <c r="G194" s="181">
        <v>2024</v>
      </c>
      <c r="H194" s="181">
        <v>2025</v>
      </c>
      <c r="I194" s="181">
        <v>2026</v>
      </c>
      <c r="J194" s="181">
        <v>2027</v>
      </c>
      <c r="K194" s="181">
        <v>2028</v>
      </c>
      <c r="L194" s="181">
        <v>2029</v>
      </c>
      <c r="M194" s="181">
        <v>2030</v>
      </c>
      <c r="N194" s="181">
        <v>2031</v>
      </c>
      <c r="O194" s="181">
        <v>2032</v>
      </c>
    </row>
    <row r="195" spans="1:15" x14ac:dyDescent="0.25">
      <c r="A195" s="954" t="s">
        <v>81</v>
      </c>
      <c r="B195" s="954"/>
      <c r="C195" s="954"/>
      <c r="D195" s="631">
        <f>SUM(D147,D152)</f>
        <v>0</v>
      </c>
      <c r="E195" s="631">
        <f t="shared" ref="E195:O195" si="68">SUM(E147,E152)</f>
        <v>0</v>
      </c>
      <c r="F195" s="631">
        <f t="shared" si="68"/>
        <v>596679.67636333732</v>
      </c>
      <c r="G195" s="631">
        <f t="shared" si="68"/>
        <v>641391.33797665779</v>
      </c>
      <c r="H195" s="631">
        <f t="shared" si="68"/>
        <v>687226.48396415776</v>
      </c>
      <c r="I195" s="631">
        <f t="shared" si="68"/>
        <v>719292.4937686394</v>
      </c>
      <c r="J195" s="631">
        <f t="shared" si="68"/>
        <v>759271.88902570028</v>
      </c>
      <c r="K195" s="631">
        <f t="shared" si="68"/>
        <v>803111.81355546229</v>
      </c>
      <c r="L195" s="631">
        <f t="shared" si="68"/>
        <v>851475.31854425871</v>
      </c>
      <c r="M195" s="631">
        <f t="shared" si="68"/>
        <v>898589.89120673423</v>
      </c>
      <c r="N195" s="631">
        <f t="shared" si="68"/>
        <v>971545.60502315033</v>
      </c>
      <c r="O195" s="631">
        <f t="shared" si="68"/>
        <v>1043373.0170111047</v>
      </c>
    </row>
    <row r="196" spans="1:15" x14ac:dyDescent="0.25">
      <c r="A196" s="954" t="s">
        <v>14</v>
      </c>
      <c r="B196" s="954"/>
      <c r="C196" s="954"/>
      <c r="D196" s="631">
        <f>SUM(D148,D153)</f>
        <v>771977.96167134657</v>
      </c>
      <c r="E196" s="631">
        <f t="shared" ref="E196:O196" si="69">SUM(E148,E153)</f>
        <v>821312.19969080458</v>
      </c>
      <c r="F196" s="631">
        <f t="shared" si="69"/>
        <v>1217808.8842908219</v>
      </c>
      <c r="G196" s="631">
        <f t="shared" si="69"/>
        <v>1306755.659196991</v>
      </c>
      <c r="H196" s="631">
        <f t="shared" si="69"/>
        <v>1373674.5617910919</v>
      </c>
      <c r="I196" s="631">
        <f t="shared" si="69"/>
        <v>1455156.0593953198</v>
      </c>
      <c r="J196" s="631">
        <f t="shared" si="69"/>
        <v>1552083.4700679863</v>
      </c>
      <c r="K196" s="631">
        <f t="shared" si="69"/>
        <v>1656466.8957820013</v>
      </c>
      <c r="L196" s="631">
        <f t="shared" si="69"/>
        <v>1769751.916058671</v>
      </c>
      <c r="M196" s="631">
        <f t="shared" si="69"/>
        <v>1879919.5030164248</v>
      </c>
      <c r="N196" s="631">
        <f t="shared" si="69"/>
        <v>2011246.2838296017</v>
      </c>
      <c r="O196" s="631">
        <f t="shared" si="69"/>
        <v>2137285.590386773</v>
      </c>
    </row>
    <row r="197" spans="1:15" x14ac:dyDescent="0.25">
      <c r="A197" s="954" t="s">
        <v>822</v>
      </c>
      <c r="B197" s="954"/>
      <c r="C197" s="954"/>
      <c r="D197" s="631">
        <f t="shared" ref="D197:G197" si="70">SUM(D149,D154)</f>
        <v>0</v>
      </c>
      <c r="E197" s="631">
        <f t="shared" si="70"/>
        <v>0</v>
      </c>
      <c r="F197" s="631">
        <f t="shared" si="70"/>
        <v>0</v>
      </c>
      <c r="G197" s="631">
        <f t="shared" si="70"/>
        <v>0</v>
      </c>
      <c r="H197" s="631">
        <f>SUM(H149,H154)</f>
        <v>10496101.905203935</v>
      </c>
      <c r="I197" s="631">
        <f t="shared" ref="I197:O197" si="71">SUM(I149,I154)</f>
        <v>11552750.473583896</v>
      </c>
      <c r="J197" s="631">
        <f>SUM(J149,J154)</f>
        <v>12155036.688611766</v>
      </c>
      <c r="K197" s="631">
        <f t="shared" si="71"/>
        <v>12796475.294528574</v>
      </c>
      <c r="L197" s="631">
        <f t="shared" si="71"/>
        <v>13486132.280896006</v>
      </c>
      <c r="M197" s="631">
        <f t="shared" si="71"/>
        <v>14131319.668758571</v>
      </c>
      <c r="N197" s="631">
        <f t="shared" si="71"/>
        <v>14926485.790974051</v>
      </c>
      <c r="O197" s="631">
        <f t="shared" si="71"/>
        <v>15650233.3317494</v>
      </c>
    </row>
    <row r="198" spans="1:15" ht="15.75" thickBot="1" x14ac:dyDescent="0.3">
      <c r="A198" s="909" t="s">
        <v>105</v>
      </c>
      <c r="B198" s="910"/>
      <c r="C198" s="911"/>
      <c r="D198" s="639">
        <f t="shared" ref="D198:I198" si="72">SUM(D150:D151,D155:D156)</f>
        <v>0</v>
      </c>
      <c r="E198" s="639">
        <f t="shared" si="72"/>
        <v>0</v>
      </c>
      <c r="F198" s="639">
        <f t="shared" si="72"/>
        <v>0</v>
      </c>
      <c r="G198" s="639">
        <f t="shared" si="72"/>
        <v>0</v>
      </c>
      <c r="H198" s="639">
        <f t="shared" si="72"/>
        <v>0</v>
      </c>
      <c r="I198" s="639">
        <f t="shared" si="72"/>
        <v>0</v>
      </c>
      <c r="J198" s="639">
        <f>SUM(J150:J151,J155:J156)</f>
        <v>8292914.0989536373</v>
      </c>
      <c r="K198" s="639">
        <f t="shared" ref="K198:O198" si="73">SUM(K150:K151,K155:K156)</f>
        <v>9029768.9294603672</v>
      </c>
      <c r="L198" s="639">
        <f t="shared" si="73"/>
        <v>22166493.978727713</v>
      </c>
      <c r="M198" s="639">
        <f t="shared" si="73"/>
        <v>23535242.043343633</v>
      </c>
      <c r="N198" s="639">
        <f t="shared" si="73"/>
        <v>24545116.482028984</v>
      </c>
      <c r="O198" s="639">
        <f t="shared" si="73"/>
        <v>25445117.020729948</v>
      </c>
    </row>
    <row r="199" spans="1:15" ht="15.75" thickTop="1" x14ac:dyDescent="0.25">
      <c r="A199" s="973" t="s">
        <v>75</v>
      </c>
      <c r="B199" s="974"/>
      <c r="C199" s="975"/>
      <c r="D199" s="641">
        <f t="shared" ref="D199:O199" si="74">SUM(D195:D198)</f>
        <v>771977.96167134657</v>
      </c>
      <c r="E199" s="641">
        <f t="shared" si="74"/>
        <v>821312.19969080458</v>
      </c>
      <c r="F199" s="641">
        <f t="shared" si="74"/>
        <v>1814488.5606541592</v>
      </c>
      <c r="G199" s="641">
        <f t="shared" si="74"/>
        <v>1948146.9971736488</v>
      </c>
      <c r="H199" s="641">
        <f t="shared" si="74"/>
        <v>12557002.950959185</v>
      </c>
      <c r="I199" s="641">
        <f t="shared" si="74"/>
        <v>13727199.026747854</v>
      </c>
      <c r="J199" s="641">
        <f t="shared" si="74"/>
        <v>22759306.146659091</v>
      </c>
      <c r="K199" s="641">
        <f t="shared" si="74"/>
        <v>24285822.933326405</v>
      </c>
      <c r="L199" s="641">
        <f t="shared" si="74"/>
        <v>38273853.494226649</v>
      </c>
      <c r="M199" s="641">
        <f t="shared" si="74"/>
        <v>40445071.106325366</v>
      </c>
      <c r="N199" s="641">
        <f t="shared" si="74"/>
        <v>42454394.161855787</v>
      </c>
      <c r="O199" s="641">
        <f t="shared" si="74"/>
        <v>44276008.959877223</v>
      </c>
    </row>
    <row r="201" spans="1:15" ht="15" customHeight="1" x14ac:dyDescent="0.25">
      <c r="A201" s="918" t="s">
        <v>298</v>
      </c>
      <c r="B201" s="918"/>
      <c r="C201" s="918"/>
      <c r="D201" s="181">
        <v>2021</v>
      </c>
      <c r="E201" s="181">
        <v>2022</v>
      </c>
      <c r="F201" s="181">
        <v>2023</v>
      </c>
      <c r="G201" s="181">
        <v>2024</v>
      </c>
      <c r="H201" s="181">
        <v>2025</v>
      </c>
      <c r="I201" s="181">
        <v>2026</v>
      </c>
      <c r="J201" s="181">
        <v>2027</v>
      </c>
      <c r="K201" s="181">
        <v>2028</v>
      </c>
      <c r="L201" s="181">
        <v>2029</v>
      </c>
      <c r="M201" s="181">
        <v>2030</v>
      </c>
      <c r="N201" s="181">
        <v>2031</v>
      </c>
      <c r="O201" s="181">
        <v>2032</v>
      </c>
    </row>
    <row r="202" spans="1:15" x14ac:dyDescent="0.25">
      <c r="A202" s="954" t="s">
        <v>294</v>
      </c>
      <c r="B202" s="954"/>
      <c r="C202" s="954"/>
      <c r="D202" s="631">
        <f t="shared" ref="D202:O202" si="75">SUM(D128:D133,D134)</f>
        <v>629602.51772046508</v>
      </c>
      <c r="E202" s="631">
        <f t="shared" si="75"/>
        <v>649783.95138875232</v>
      </c>
      <c r="F202" s="631">
        <f t="shared" si="75"/>
        <v>1389754.7827689811</v>
      </c>
      <c r="G202" s="631">
        <f t="shared" si="75"/>
        <v>1445438.6819340626</v>
      </c>
      <c r="H202" s="631">
        <f t="shared" si="75"/>
        <v>6149594.1749895252</v>
      </c>
      <c r="I202" s="631">
        <f t="shared" si="75"/>
        <v>6549649.6896756738</v>
      </c>
      <c r="J202" s="631">
        <f t="shared" si="75"/>
        <v>10224352.719286155</v>
      </c>
      <c r="K202" s="631">
        <f t="shared" si="75"/>
        <v>10657470.929347957</v>
      </c>
      <c r="L202" s="631">
        <f t="shared" si="75"/>
        <v>16151123.660454268</v>
      </c>
      <c r="M202" s="631">
        <f t="shared" si="75"/>
        <v>16857340.482565995</v>
      </c>
      <c r="N202" s="631">
        <f t="shared" si="75"/>
        <v>17240832.116679415</v>
      </c>
      <c r="O202" s="631">
        <f t="shared" si="75"/>
        <v>17627327.362171572</v>
      </c>
    </row>
    <row r="203" spans="1:15" ht="15.75" thickBot="1" x14ac:dyDescent="0.3">
      <c r="A203" s="909" t="s">
        <v>295</v>
      </c>
      <c r="B203" s="910"/>
      <c r="C203" s="911"/>
      <c r="D203" s="639">
        <f>SUM(D135:D144)</f>
        <v>752683.5571919746</v>
      </c>
      <c r="E203" s="639">
        <f t="shared" ref="E203:O203" si="76">SUM(E135:E144)</f>
        <v>780422.83380239038</v>
      </c>
      <c r="F203" s="639">
        <f t="shared" si="76"/>
        <v>809762.59430981404</v>
      </c>
      <c r="G203" s="639">
        <f t="shared" si="76"/>
        <v>840745.02671731205</v>
      </c>
      <c r="H203" s="639">
        <f t="shared" si="76"/>
        <v>3850327.6850486007</v>
      </c>
      <c r="I203" s="639">
        <f t="shared" si="76"/>
        <v>3961167.6880543632</v>
      </c>
      <c r="J203" s="639">
        <f t="shared" si="76"/>
        <v>5388196.8129171534</v>
      </c>
      <c r="K203" s="639">
        <f t="shared" si="76"/>
        <v>5500871.2981036184</v>
      </c>
      <c r="L203" s="639">
        <f t="shared" si="76"/>
        <v>7549232.377963284</v>
      </c>
      <c r="M203" s="639">
        <f t="shared" si="76"/>
        <v>7689964.5186366439</v>
      </c>
      <c r="N203" s="639">
        <f t="shared" si="76"/>
        <v>7854267.4769814368</v>
      </c>
      <c r="O203" s="639">
        <f t="shared" si="76"/>
        <v>8019764.022796588</v>
      </c>
    </row>
    <row r="204" spans="1:15" ht="15.75" thickTop="1" x14ac:dyDescent="0.25">
      <c r="A204" s="973" t="s">
        <v>75</v>
      </c>
      <c r="B204" s="974"/>
      <c r="C204" s="975"/>
      <c r="D204" s="641">
        <f t="shared" ref="D204:O204" si="77">SUM(D202:D203)</f>
        <v>1382286.0749124396</v>
      </c>
      <c r="E204" s="641">
        <f t="shared" si="77"/>
        <v>1430206.7851911427</v>
      </c>
      <c r="F204" s="641">
        <f t="shared" si="77"/>
        <v>2199517.3770787949</v>
      </c>
      <c r="G204" s="641">
        <f t="shared" si="77"/>
        <v>2286183.7086513746</v>
      </c>
      <c r="H204" s="641">
        <f t="shared" si="77"/>
        <v>9999921.8600381259</v>
      </c>
      <c r="I204" s="641">
        <f t="shared" si="77"/>
        <v>10510817.377730038</v>
      </c>
      <c r="J204" s="641">
        <f t="shared" si="77"/>
        <v>15612549.532203309</v>
      </c>
      <c r="K204" s="641">
        <f t="shared" si="77"/>
        <v>16158342.227451574</v>
      </c>
      <c r="L204" s="641">
        <f t="shared" si="77"/>
        <v>23700356.038417552</v>
      </c>
      <c r="M204" s="641">
        <f t="shared" si="77"/>
        <v>24547305.001202639</v>
      </c>
      <c r="N204" s="641">
        <f t="shared" si="77"/>
        <v>25095099.593660854</v>
      </c>
      <c r="O204" s="641">
        <f t="shared" si="77"/>
        <v>25647091.384968162</v>
      </c>
    </row>
    <row r="206" spans="1:15" ht="15" customHeight="1" x14ac:dyDescent="0.25">
      <c r="A206" s="918" t="s">
        <v>300</v>
      </c>
      <c r="B206" s="918"/>
      <c r="C206" s="918"/>
      <c r="D206" s="181">
        <v>2021</v>
      </c>
      <c r="E206" s="181">
        <v>2022</v>
      </c>
      <c r="F206" s="181">
        <v>2023</v>
      </c>
      <c r="G206" s="181">
        <v>2024</v>
      </c>
      <c r="H206" s="181">
        <v>2025</v>
      </c>
      <c r="I206" s="181">
        <v>2026</v>
      </c>
      <c r="J206" s="181">
        <v>2027</v>
      </c>
      <c r="K206" s="181">
        <v>2028</v>
      </c>
      <c r="L206" s="181">
        <v>2029</v>
      </c>
      <c r="M206" s="181">
        <v>2030</v>
      </c>
      <c r="N206" s="181">
        <v>2031</v>
      </c>
      <c r="O206" s="181">
        <v>2032</v>
      </c>
    </row>
    <row r="207" spans="1:15" x14ac:dyDescent="0.25">
      <c r="A207" s="954" t="s">
        <v>296</v>
      </c>
      <c r="B207" s="954"/>
      <c r="C207" s="954"/>
      <c r="D207" s="631">
        <f>SUM(D147:D151)</f>
        <v>545549.10010193475</v>
      </c>
      <c r="E207" s="631">
        <f t="shared" ref="E207:O207" si="78">SUM(E147:E151)</f>
        <v>588938.01837730198</v>
      </c>
      <c r="F207" s="631">
        <f t="shared" si="78"/>
        <v>1318673.7396262528</v>
      </c>
      <c r="G207" s="631">
        <f t="shared" si="78"/>
        <v>1437270.5163396134</v>
      </c>
      <c r="H207" s="631">
        <f t="shared" si="78"/>
        <v>9467419.1024906114</v>
      </c>
      <c r="I207" s="631">
        <f t="shared" si="78"/>
        <v>10388907.401684452</v>
      </c>
      <c r="J207" s="631">
        <f t="shared" si="78"/>
        <v>17312733.146627218</v>
      </c>
      <c r="K207" s="631">
        <f t="shared" si="78"/>
        <v>18576625.707417682</v>
      </c>
      <c r="L207" s="631">
        <f t="shared" si="78"/>
        <v>29434139.754525878</v>
      </c>
      <c r="M207" s="631">
        <f t="shared" si="78"/>
        <v>31254349.168816872</v>
      </c>
      <c r="N207" s="631">
        <f t="shared" si="78"/>
        <v>32949677.109517071</v>
      </c>
      <c r="O207" s="631">
        <f t="shared" si="78"/>
        <v>34426692.887915589</v>
      </c>
    </row>
    <row r="208" spans="1:15" ht="15.75" thickBot="1" x14ac:dyDescent="0.3">
      <c r="A208" s="909" t="s">
        <v>297</v>
      </c>
      <c r="B208" s="910"/>
      <c r="C208" s="911"/>
      <c r="D208" s="639">
        <f>SUM(D152:D156)</f>
        <v>226428.86156941182</v>
      </c>
      <c r="E208" s="639">
        <f t="shared" ref="E208:O208" si="79">SUM(E152:E156)</f>
        <v>232374.18131350263</v>
      </c>
      <c r="F208" s="639">
        <f t="shared" si="79"/>
        <v>495814.82102790655</v>
      </c>
      <c r="G208" s="639">
        <f t="shared" si="79"/>
        <v>510876.48083403555</v>
      </c>
      <c r="H208" s="639">
        <f t="shared" si="79"/>
        <v>3089583.8484685747</v>
      </c>
      <c r="I208" s="639">
        <f t="shared" si="79"/>
        <v>3338291.6250634026</v>
      </c>
      <c r="J208" s="639">
        <f t="shared" si="79"/>
        <v>5446573.0000318736</v>
      </c>
      <c r="K208" s="639">
        <f t="shared" si="79"/>
        <v>5709197.2259087227</v>
      </c>
      <c r="L208" s="639">
        <f t="shared" si="79"/>
        <v>8839713.7397007737</v>
      </c>
      <c r="M208" s="639">
        <f t="shared" si="79"/>
        <v>9190721.9375084862</v>
      </c>
      <c r="N208" s="639">
        <f t="shared" si="79"/>
        <v>9504717.0523387119</v>
      </c>
      <c r="O208" s="639">
        <f t="shared" si="79"/>
        <v>9849316.0719616394</v>
      </c>
    </row>
    <row r="209" spans="1:15" ht="15.75" thickTop="1" x14ac:dyDescent="0.25">
      <c r="A209" s="973" t="s">
        <v>75</v>
      </c>
      <c r="B209" s="974"/>
      <c r="C209" s="975"/>
      <c r="D209" s="641">
        <f t="shared" ref="D209:O209" si="80">SUM(D207:D208)</f>
        <v>771977.96167134657</v>
      </c>
      <c r="E209" s="641">
        <f t="shared" si="80"/>
        <v>821312.19969080458</v>
      </c>
      <c r="F209" s="641">
        <f t="shared" si="80"/>
        <v>1814488.5606541594</v>
      </c>
      <c r="G209" s="641">
        <f t="shared" si="80"/>
        <v>1948146.9971736488</v>
      </c>
      <c r="H209" s="641">
        <f t="shared" si="80"/>
        <v>12557002.950959187</v>
      </c>
      <c r="I209" s="641">
        <f t="shared" si="80"/>
        <v>13727199.026747854</v>
      </c>
      <c r="J209" s="641">
        <f t="shared" si="80"/>
        <v>22759306.146659091</v>
      </c>
      <c r="K209" s="641">
        <f t="shared" si="80"/>
        <v>24285822.933326405</v>
      </c>
      <c r="L209" s="641">
        <f t="shared" si="80"/>
        <v>38273853.494226649</v>
      </c>
      <c r="M209" s="641">
        <f t="shared" si="80"/>
        <v>40445071.106325358</v>
      </c>
      <c r="N209" s="641">
        <f t="shared" si="80"/>
        <v>42454394.161855787</v>
      </c>
      <c r="O209" s="641">
        <f t="shared" si="80"/>
        <v>44276008.95987723</v>
      </c>
    </row>
  </sheetData>
  <sheetProtection algorithmName="SHA-512" hashValue="4M4Q6Tx+Ru6OGqVgOr9hng6hvipjrnOGOdyu5dTcJXw790f7cNdGTFR0MMLyRRHFcpfnFvOoT45o6bomXSah9w==" saltValue="X1nHqlR5mWv8mv2aV+5vnw==" spinCount="100000" sheet="1" objects="1" scenarios="1"/>
  <mergeCells count="87">
    <mergeCell ref="E27:E31"/>
    <mergeCell ref="B26:C26"/>
    <mergeCell ref="D26:E26"/>
    <mergeCell ref="A44:A48"/>
    <mergeCell ref="B43:C43"/>
    <mergeCell ref="D43:E43"/>
    <mergeCell ref="B44:B48"/>
    <mergeCell ref="C44:C48"/>
    <mergeCell ref="D44:D48"/>
    <mergeCell ref="E44:E48"/>
    <mergeCell ref="A102:B102"/>
    <mergeCell ref="A112:A114"/>
    <mergeCell ref="B112:B114"/>
    <mergeCell ref="A122:A123"/>
    <mergeCell ref="A116:A117"/>
    <mergeCell ref="A118:A119"/>
    <mergeCell ref="B118:B119"/>
    <mergeCell ref="B116:B117"/>
    <mergeCell ref="B122:B123"/>
    <mergeCell ref="A107:B107"/>
    <mergeCell ref="A108:B108"/>
    <mergeCell ref="D1:G1"/>
    <mergeCell ref="D2:G2"/>
    <mergeCell ref="D3:G3"/>
    <mergeCell ref="A105:B105"/>
    <mergeCell ref="A106:B106"/>
    <mergeCell ref="A103:B103"/>
    <mergeCell ref="A100:B100"/>
    <mergeCell ref="F60:I60"/>
    <mergeCell ref="F61:G61"/>
    <mergeCell ref="B60:E60"/>
    <mergeCell ref="D61:E61"/>
    <mergeCell ref="B61:C61"/>
    <mergeCell ref="A101:B101"/>
    <mergeCell ref="B27:B31"/>
    <mergeCell ref="C27:C31"/>
    <mergeCell ref="D27:D31"/>
    <mergeCell ref="A147:A151"/>
    <mergeCell ref="B147:B151"/>
    <mergeCell ref="A152:A156"/>
    <mergeCell ref="A124:A125"/>
    <mergeCell ref="A128:A133"/>
    <mergeCell ref="A135:A139"/>
    <mergeCell ref="A140:A144"/>
    <mergeCell ref="B153:B156"/>
    <mergeCell ref="B135:B139"/>
    <mergeCell ref="B140:B144"/>
    <mergeCell ref="B128:B133"/>
    <mergeCell ref="A175:C175"/>
    <mergeCell ref="A177:C177"/>
    <mergeCell ref="A195:C195"/>
    <mergeCell ref="A196:C196"/>
    <mergeCell ref="A197:C197"/>
    <mergeCell ref="A194:C194"/>
    <mergeCell ref="A178:C178"/>
    <mergeCell ref="A179:C179"/>
    <mergeCell ref="A180:C180"/>
    <mergeCell ref="A166:C166"/>
    <mergeCell ref="A167:C167"/>
    <mergeCell ref="A168:C168"/>
    <mergeCell ref="A169:C169"/>
    <mergeCell ref="A174:C174"/>
    <mergeCell ref="A201:C201"/>
    <mergeCell ref="A198:C198"/>
    <mergeCell ref="A199:C199"/>
    <mergeCell ref="A187:C187"/>
    <mergeCell ref="A188:C188"/>
    <mergeCell ref="A191:C191"/>
    <mergeCell ref="A192:C192"/>
    <mergeCell ref="A189:C189"/>
    <mergeCell ref="A190:C190"/>
    <mergeCell ref="H61:I61"/>
    <mergeCell ref="A27:A31"/>
    <mergeCell ref="A208:C208"/>
    <mergeCell ref="A209:C209"/>
    <mergeCell ref="A104:B104"/>
    <mergeCell ref="A202:C202"/>
    <mergeCell ref="A203:C203"/>
    <mergeCell ref="A204:C204"/>
    <mergeCell ref="A206:C206"/>
    <mergeCell ref="A207:C207"/>
    <mergeCell ref="A172:C172"/>
    <mergeCell ref="A173:C173"/>
    <mergeCell ref="A182:C182"/>
    <mergeCell ref="A183:C183"/>
    <mergeCell ref="A184:C184"/>
    <mergeCell ref="A185:C185"/>
  </mergeCells>
  <pageMargins left="0.7" right="0.7" top="0.75" bottom="0.75" header="0.3" footer="0.3"/>
  <pageSetup paperSize="5" scale="99" pageOrder="overThenDown" orientation="landscape" r:id="rId1"/>
  <rowBreaks count="8" manualBreakCount="8">
    <brk id="25" max="16383" man="1"/>
    <brk id="59" max="14" man="1"/>
    <brk id="86" max="16383" man="1"/>
    <brk id="109" max="16383" man="1"/>
    <brk id="126" max="16383" man="1"/>
    <brk id="145" max="16383" man="1"/>
    <brk id="164" max="16383" man="1"/>
    <brk id="186" max="1638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theme="9" tint="0.59999389629810485"/>
  </sheetPr>
  <dimension ref="A1:Q128"/>
  <sheetViews>
    <sheetView topLeftCell="A28" zoomScaleNormal="100" zoomScaleSheetLayoutView="80" workbookViewId="0">
      <selection activeCell="F57" sqref="F57"/>
    </sheetView>
  </sheetViews>
  <sheetFormatPr defaultColWidth="9.140625" defaultRowHeight="15" x14ac:dyDescent="0.25"/>
  <cols>
    <col min="1" max="1" width="62.28515625" style="267" bestFit="1" customWidth="1"/>
    <col min="2" max="2" width="16.5703125" style="267" customWidth="1"/>
    <col min="3" max="3" width="17.7109375" style="267" bestFit="1" customWidth="1"/>
    <col min="4" max="4" width="13" style="267" bestFit="1" customWidth="1"/>
    <col min="5" max="5" width="11.85546875" style="267" customWidth="1"/>
    <col min="6" max="15" width="11.85546875" style="267" bestFit="1" customWidth="1"/>
    <col min="16" max="16" width="12.42578125" style="267" bestFit="1" customWidth="1"/>
    <col min="17" max="17" width="11.28515625" style="267" bestFit="1" customWidth="1"/>
    <col min="18" max="16384" width="9.140625" style="267"/>
  </cols>
  <sheetData>
    <row r="1" spans="1:14" ht="18.75" x14ac:dyDescent="0.3">
      <c r="A1" s="651" t="s">
        <v>40</v>
      </c>
      <c r="B1" s="1019" t="s">
        <v>386</v>
      </c>
      <c r="C1" s="1019"/>
      <c r="D1" s="1019"/>
    </row>
    <row r="2" spans="1:14" x14ac:dyDescent="0.25">
      <c r="B2" s="1020" t="s">
        <v>379</v>
      </c>
      <c r="C2" s="1020"/>
      <c r="D2" s="1020"/>
    </row>
    <row r="3" spans="1:14" x14ac:dyDescent="0.25">
      <c r="B3" s="947" t="s">
        <v>375</v>
      </c>
      <c r="C3" s="948"/>
      <c r="D3" s="949"/>
    </row>
    <row r="6" spans="1:14" ht="15.75" x14ac:dyDescent="0.25">
      <c r="A6" s="652" t="s">
        <v>262</v>
      </c>
    </row>
    <row r="7" spans="1:14" ht="15" customHeight="1" x14ac:dyDescent="0.25">
      <c r="A7" s="284" t="s">
        <v>24</v>
      </c>
      <c r="B7" s="284" t="s">
        <v>15</v>
      </c>
      <c r="C7" s="265" t="s">
        <v>25</v>
      </c>
      <c r="I7" s="1021" t="s">
        <v>673</v>
      </c>
      <c r="J7" s="1022"/>
      <c r="K7" s="897" t="s">
        <v>668</v>
      </c>
      <c r="L7" s="897"/>
      <c r="M7" s="1021" t="s">
        <v>669</v>
      </c>
      <c r="N7" s="1022"/>
    </row>
    <row r="8" spans="1:14" ht="15" customHeight="1" x14ac:dyDescent="0.25">
      <c r="A8" s="244" t="s">
        <v>50</v>
      </c>
      <c r="B8" s="244" t="s">
        <v>52</v>
      </c>
      <c r="C8" s="271">
        <f>'Cost Inputs'!C144</f>
        <v>10000</v>
      </c>
      <c r="I8" s="1023"/>
      <c r="J8" s="1024"/>
      <c r="K8" s="897"/>
      <c r="L8" s="897"/>
      <c r="M8" s="1023"/>
      <c r="N8" s="1024"/>
    </row>
    <row r="9" spans="1:14" x14ac:dyDescent="0.25">
      <c r="A9" s="244" t="s">
        <v>51</v>
      </c>
      <c r="B9" s="244" t="s">
        <v>52</v>
      </c>
      <c r="C9" s="271">
        <f>'Cost Inputs'!C149</f>
        <v>2500</v>
      </c>
      <c r="I9" s="906" t="s">
        <v>81</v>
      </c>
      <c r="J9" s="908"/>
      <c r="K9" s="1006">
        <f>Apportion!D37</f>
        <v>0.49180327868852458</v>
      </c>
      <c r="L9" s="1006"/>
      <c r="M9" s="1006">
        <f>Apportion!D46</f>
        <v>0.1388888888888889</v>
      </c>
      <c r="N9" s="1006"/>
    </row>
    <row r="10" spans="1:14" x14ac:dyDescent="0.25">
      <c r="A10" s="244" t="s">
        <v>358</v>
      </c>
      <c r="B10" s="244" t="s">
        <v>16</v>
      </c>
      <c r="C10" s="271">
        <f>'Cost Inputs'!C157</f>
        <v>100</v>
      </c>
      <c r="I10" s="906" t="s">
        <v>14</v>
      </c>
      <c r="J10" s="908"/>
      <c r="K10" s="1006">
        <f>Apportion!D38</f>
        <v>9.0163934426229511E-2</v>
      </c>
      <c r="L10" s="1006"/>
      <c r="M10" s="1006">
        <f>Apportion!D47</f>
        <v>2.7777777777777776E-2</v>
      </c>
      <c r="N10" s="1006"/>
    </row>
    <row r="11" spans="1:14" x14ac:dyDescent="0.25">
      <c r="A11" s="244" t="s">
        <v>359</v>
      </c>
      <c r="B11" s="244" t="s">
        <v>16</v>
      </c>
      <c r="C11" s="271">
        <f>'Cost Inputs'!C164</f>
        <v>100</v>
      </c>
      <c r="I11" s="906" t="s">
        <v>822</v>
      </c>
      <c r="J11" s="908"/>
      <c r="K11" s="1006">
        <f>Apportion!D39</f>
        <v>0.1721311475409836</v>
      </c>
      <c r="L11" s="1006"/>
      <c r="M11" s="1006">
        <f>Apportion!D48</f>
        <v>0</v>
      </c>
      <c r="N11" s="1006"/>
    </row>
    <row r="12" spans="1:14" x14ac:dyDescent="0.25">
      <c r="A12" s="244" t="s">
        <v>803</v>
      </c>
      <c r="B12" s="244" t="s">
        <v>53</v>
      </c>
      <c r="C12" s="271">
        <f>'Cost Inputs'!D174</f>
        <v>180000</v>
      </c>
      <c r="I12" s="906" t="s">
        <v>674</v>
      </c>
      <c r="J12" s="908"/>
      <c r="K12" s="1006">
        <f>Apportion!D40</f>
        <v>0.10655737704918032</v>
      </c>
      <c r="L12" s="1006"/>
      <c r="M12" s="1006">
        <f>Apportion!D49</f>
        <v>0.3611111111111111</v>
      </c>
      <c r="N12" s="1006"/>
    </row>
    <row r="13" spans="1:14" x14ac:dyDescent="0.25">
      <c r="A13" s="485" t="s">
        <v>804</v>
      </c>
      <c r="B13" s="244" t="s">
        <v>53</v>
      </c>
      <c r="C13" s="271">
        <f>'Cost Inputs'!E174</f>
        <v>179000</v>
      </c>
      <c r="I13" s="1007" t="s">
        <v>676</v>
      </c>
      <c r="J13" s="1008"/>
      <c r="K13" s="1006">
        <f>Apportion!D41</f>
        <v>0.13934426229508196</v>
      </c>
      <c r="L13" s="1006"/>
      <c r="M13" s="1006">
        <f>Apportion!D50</f>
        <v>0.47222222222222221</v>
      </c>
      <c r="N13" s="1006"/>
    </row>
    <row r="14" spans="1:14" ht="15" customHeight="1" x14ac:dyDescent="0.25">
      <c r="A14" s="244" t="s">
        <v>805</v>
      </c>
      <c r="B14" s="244" t="s">
        <v>53</v>
      </c>
      <c r="C14" s="271">
        <f>'Cost Inputs'!D177</f>
        <v>189000</v>
      </c>
      <c r="I14" s="673"/>
      <c r="J14" s="673"/>
      <c r="K14" s="705"/>
      <c r="L14" s="706"/>
      <c r="M14" s="705"/>
    </row>
    <row r="15" spans="1:14" x14ac:dyDescent="0.25">
      <c r="A15" s="244" t="s">
        <v>806</v>
      </c>
      <c r="B15" s="244" t="s">
        <v>53</v>
      </c>
      <c r="C15" s="271">
        <f>'Cost Inputs'!E177</f>
        <v>188000</v>
      </c>
      <c r="D15" s="538"/>
      <c r="I15" s="673"/>
      <c r="J15" s="673"/>
      <c r="K15" s="706"/>
      <c r="L15" s="706"/>
    </row>
    <row r="16" spans="1:14" x14ac:dyDescent="0.25">
      <c r="A16" s="244" t="s">
        <v>869</v>
      </c>
      <c r="B16" s="244" t="s">
        <v>53</v>
      </c>
      <c r="C16" s="271">
        <f>'Cost Inputs'!D184</f>
        <v>189000</v>
      </c>
      <c r="I16" s="1012" t="s">
        <v>807</v>
      </c>
      <c r="J16" s="1012"/>
      <c r="K16" s="1012"/>
      <c r="L16" s="1012"/>
      <c r="M16" s="244" t="s">
        <v>53</v>
      </c>
      <c r="N16" s="271">
        <f>'Cost Inputs'!D176</f>
        <v>88000</v>
      </c>
    </row>
    <row r="17" spans="1:16" x14ac:dyDescent="0.25">
      <c r="A17" s="244" t="s">
        <v>870</v>
      </c>
      <c r="B17" s="244" t="s">
        <v>53</v>
      </c>
      <c r="C17" s="271">
        <f>'Cost Inputs'!E184</f>
        <v>188000</v>
      </c>
      <c r="I17" s="1012" t="s">
        <v>808</v>
      </c>
      <c r="J17" s="1012"/>
      <c r="K17" s="1012"/>
      <c r="L17" s="1012"/>
      <c r="M17" s="244" t="s">
        <v>53</v>
      </c>
      <c r="N17" s="271">
        <f>'Cost Inputs'!E176</f>
        <v>87000</v>
      </c>
    </row>
    <row r="18" spans="1:16" x14ac:dyDescent="0.25">
      <c r="A18" s="244" t="s">
        <v>871</v>
      </c>
      <c r="B18" s="244" t="s">
        <v>53</v>
      </c>
      <c r="C18" s="271">
        <f>'Cost Inputs'!D185</f>
        <v>189000</v>
      </c>
      <c r="E18" s="707"/>
      <c r="F18" s="707"/>
      <c r="G18" s="673"/>
      <c r="H18" s="673"/>
    </row>
    <row r="19" spans="1:16" x14ac:dyDescent="0.25">
      <c r="A19" s="244" t="s">
        <v>872</v>
      </c>
      <c r="B19" s="244" t="s">
        <v>53</v>
      </c>
      <c r="C19" s="271">
        <f>'Cost Inputs'!E185</f>
        <v>188000</v>
      </c>
      <c r="E19" s="707"/>
      <c r="F19" s="707"/>
      <c r="G19" s="673"/>
      <c r="H19" s="673"/>
    </row>
    <row r="20" spans="1:16" x14ac:dyDescent="0.25">
      <c r="D20" s="698" t="s">
        <v>758</v>
      </c>
    </row>
    <row r="21" spans="1:16" x14ac:dyDescent="0.25">
      <c r="A21" s="284" t="s">
        <v>23</v>
      </c>
      <c r="B21" s="284"/>
      <c r="C21" s="284" t="s">
        <v>15</v>
      </c>
      <c r="D21" s="265">
        <v>2020</v>
      </c>
      <c r="E21" s="265">
        <v>2021</v>
      </c>
      <c r="F21" s="265">
        <v>2022</v>
      </c>
      <c r="G21" s="265">
        <v>2023</v>
      </c>
      <c r="H21" s="265">
        <v>2024</v>
      </c>
      <c r="I21" s="265">
        <v>2025</v>
      </c>
      <c r="J21" s="265">
        <v>2026</v>
      </c>
      <c r="K21" s="265">
        <v>2027</v>
      </c>
      <c r="L21" s="265">
        <v>2028</v>
      </c>
      <c r="M21" s="265">
        <v>2029</v>
      </c>
      <c r="N21" s="265">
        <v>2030</v>
      </c>
      <c r="O21" s="265">
        <v>2031</v>
      </c>
      <c r="P21" s="265">
        <v>2032</v>
      </c>
    </row>
    <row r="22" spans="1:16" x14ac:dyDescent="0.25">
      <c r="A22" s="244" t="s">
        <v>873</v>
      </c>
      <c r="B22" s="244" t="s">
        <v>357</v>
      </c>
      <c r="C22" s="244" t="s">
        <v>22</v>
      </c>
      <c r="D22" s="268">
        <f>'Berths, Terminals, Vessels'!$B18/2</f>
        <v>9.5</v>
      </c>
      <c r="E22" s="268">
        <f>'Berths, Terminals, Vessels'!$B18/2</f>
        <v>9.5</v>
      </c>
      <c r="F22" s="685"/>
      <c r="G22" s="685"/>
      <c r="H22" s="685"/>
      <c r="I22" s="685"/>
      <c r="J22" s="685"/>
      <c r="K22" s="685"/>
      <c r="L22" s="685"/>
      <c r="M22" s="685"/>
      <c r="N22" s="685"/>
      <c r="O22" s="685"/>
      <c r="P22" s="685"/>
    </row>
    <row r="23" spans="1:16" x14ac:dyDescent="0.25">
      <c r="A23" s="244" t="s">
        <v>874</v>
      </c>
      <c r="B23" s="244" t="s">
        <v>357</v>
      </c>
      <c r="C23" s="244" t="s">
        <v>22</v>
      </c>
      <c r="D23" s="268">
        <f>'Berths, Terminals, Vessels'!$B45/2</f>
        <v>2.5</v>
      </c>
      <c r="E23" s="268">
        <f>'Berths, Terminals, Vessels'!$B45/2</f>
        <v>2.5</v>
      </c>
      <c r="F23" s="685"/>
      <c r="G23" s="685"/>
      <c r="H23" s="685"/>
      <c r="I23" s="685"/>
      <c r="J23" s="685"/>
      <c r="K23" s="685"/>
      <c r="L23" s="685"/>
      <c r="M23" s="685"/>
      <c r="N23" s="685"/>
      <c r="O23" s="685"/>
      <c r="P23" s="685"/>
    </row>
    <row r="24" spans="1:16" x14ac:dyDescent="0.25">
      <c r="A24" s="244" t="s">
        <v>881</v>
      </c>
      <c r="B24" s="244" t="s">
        <v>890</v>
      </c>
      <c r="C24" s="244" t="s">
        <v>22</v>
      </c>
      <c r="D24" s="268">
        <f>'Berths, Terminals, Vessels'!$B65/2</f>
        <v>5.5</v>
      </c>
      <c r="E24" s="268">
        <f>'Berths, Terminals, Vessels'!$B65/2</f>
        <v>5.5</v>
      </c>
      <c r="F24" s="685"/>
      <c r="G24" s="685"/>
      <c r="H24" s="685"/>
      <c r="I24" s="685"/>
      <c r="J24" s="685"/>
      <c r="K24" s="685"/>
      <c r="L24" s="685"/>
      <c r="M24" s="685"/>
      <c r="N24" s="685"/>
      <c r="O24" s="685"/>
      <c r="P24" s="685"/>
    </row>
    <row r="25" spans="1:16" x14ac:dyDescent="0.25">
      <c r="A25" s="244" t="s">
        <v>875</v>
      </c>
      <c r="B25" s="244" t="s">
        <v>357</v>
      </c>
      <c r="C25" s="244" t="s">
        <v>22</v>
      </c>
      <c r="D25" s="268">
        <f>SUM('Berths, Terminals, Vessels'!$B78:$B83)/2</f>
        <v>10</v>
      </c>
      <c r="E25" s="268">
        <f>SUM('Berths, Terminals, Vessels'!$B78:$B83)/2</f>
        <v>10</v>
      </c>
      <c r="F25" s="685"/>
      <c r="G25" s="685"/>
      <c r="H25" s="685"/>
      <c r="I25" s="685"/>
      <c r="J25" s="685"/>
      <c r="K25" s="685"/>
      <c r="L25" s="685"/>
      <c r="M25" s="685"/>
      <c r="N25" s="685"/>
      <c r="O25" s="685"/>
      <c r="P25" s="685"/>
    </row>
    <row r="26" spans="1:16" x14ac:dyDescent="0.25">
      <c r="A26" s="244" t="s">
        <v>876</v>
      </c>
      <c r="B26" s="244" t="s">
        <v>357</v>
      </c>
      <c r="C26" s="244" t="s">
        <v>22</v>
      </c>
      <c r="D26" s="268">
        <f>'Berths, Terminals, Vessels'!$C18/2</f>
        <v>30</v>
      </c>
      <c r="E26" s="268">
        <f>'Berths, Terminals, Vessels'!$C18/2</f>
        <v>30</v>
      </c>
      <c r="F26" s="685"/>
      <c r="G26" s="685"/>
      <c r="H26" s="685"/>
      <c r="I26" s="685"/>
      <c r="J26" s="685"/>
      <c r="K26" s="685"/>
      <c r="L26" s="685"/>
      <c r="M26" s="685"/>
      <c r="N26" s="685"/>
      <c r="O26" s="685"/>
      <c r="P26" s="685"/>
    </row>
    <row r="27" spans="1:16" x14ac:dyDescent="0.25">
      <c r="A27" s="244" t="s">
        <v>877</v>
      </c>
      <c r="B27" s="244" t="s">
        <v>357</v>
      </c>
      <c r="C27" s="244" t="s">
        <v>22</v>
      </c>
      <c r="D27" s="268">
        <f>'Berths, Terminals, Vessels'!$C45/2</f>
        <v>5.5</v>
      </c>
      <c r="E27" s="268">
        <f>'Berths, Terminals, Vessels'!$C45/2</f>
        <v>5.5</v>
      </c>
      <c r="F27" s="685"/>
      <c r="G27" s="685"/>
      <c r="H27" s="685"/>
      <c r="I27" s="685"/>
      <c r="J27" s="685"/>
      <c r="K27" s="685"/>
      <c r="L27" s="685"/>
      <c r="M27" s="685"/>
      <c r="N27" s="685"/>
      <c r="O27" s="685"/>
      <c r="P27" s="685"/>
    </row>
    <row r="28" spans="1:16" x14ac:dyDescent="0.25">
      <c r="A28" s="244" t="s">
        <v>882</v>
      </c>
      <c r="B28" s="244" t="s">
        <v>890</v>
      </c>
      <c r="C28" s="244" t="s">
        <v>22</v>
      </c>
      <c r="D28" s="268">
        <f>'Berths, Terminals, Vessels'!$C65/2</f>
        <v>10.5</v>
      </c>
      <c r="E28" s="268">
        <f>'Berths, Terminals, Vessels'!$C65/2</f>
        <v>10.5</v>
      </c>
      <c r="F28" s="685"/>
      <c r="G28" s="268">
        <f>D28</f>
        <v>10.5</v>
      </c>
      <c r="H28" s="268">
        <f>E28</f>
        <v>10.5</v>
      </c>
      <c r="I28" s="685"/>
      <c r="J28" s="685"/>
      <c r="K28" s="685"/>
      <c r="L28" s="685"/>
      <c r="M28" s="685"/>
      <c r="N28" s="685"/>
      <c r="O28" s="685"/>
      <c r="P28" s="685"/>
    </row>
    <row r="29" spans="1:16" x14ac:dyDescent="0.25">
      <c r="A29" s="244" t="s">
        <v>878</v>
      </c>
      <c r="B29" s="244" t="s">
        <v>357</v>
      </c>
      <c r="C29" s="244" t="s">
        <v>22</v>
      </c>
      <c r="D29" s="268">
        <f>SUM('Berths, Terminals, Vessels'!$C78:$C79)/2</f>
        <v>6.5</v>
      </c>
      <c r="E29" s="268">
        <f>SUM('Berths, Terminals, Vessels'!$C78:$C79)/2</f>
        <v>6.5</v>
      </c>
      <c r="F29" s="685"/>
      <c r="G29" s="685"/>
      <c r="H29" s="685"/>
      <c r="I29" s="268">
        <f>D29</f>
        <v>6.5</v>
      </c>
      <c r="J29" s="268">
        <f>E29</f>
        <v>6.5</v>
      </c>
      <c r="K29" s="685"/>
      <c r="L29" s="685"/>
      <c r="M29" s="685"/>
      <c r="N29" s="685"/>
      <c r="O29" s="685"/>
      <c r="P29" s="685"/>
    </row>
    <row r="30" spans="1:16" x14ac:dyDescent="0.25">
      <c r="A30" s="244" t="s">
        <v>879</v>
      </c>
      <c r="B30" s="244" t="s">
        <v>357</v>
      </c>
      <c r="C30" s="244" t="s">
        <v>22</v>
      </c>
      <c r="D30" s="268">
        <f>SUM('Berths, Terminals, Vessels'!$C80:$C83)/2</f>
        <v>8.5</v>
      </c>
      <c r="E30" s="268">
        <f>SUM('Berths, Terminals, Vessels'!$C80:$C83)/2</f>
        <v>8.5</v>
      </c>
      <c r="F30" s="685"/>
      <c r="G30" s="685"/>
      <c r="H30" s="685"/>
      <c r="I30" s="685"/>
      <c r="J30" s="685"/>
      <c r="K30" s="268">
        <f>D30</f>
        <v>8.5</v>
      </c>
      <c r="L30" s="268">
        <f>E30</f>
        <v>8.5</v>
      </c>
      <c r="M30" s="685"/>
      <c r="N30" s="685"/>
      <c r="O30" s="685"/>
      <c r="P30" s="685"/>
    </row>
    <row r="31" spans="1:16" x14ac:dyDescent="0.25">
      <c r="A31" s="244" t="s">
        <v>353</v>
      </c>
      <c r="B31" s="244" t="s">
        <v>357</v>
      </c>
      <c r="C31" s="244" t="s">
        <v>22</v>
      </c>
      <c r="D31" s="685"/>
      <c r="E31" s="268">
        <f>'Cost Inputs'!$B157</f>
        <v>3742</v>
      </c>
      <c r="F31" s="268">
        <f>'Cost Inputs'!$B157</f>
        <v>3742</v>
      </c>
      <c r="G31" s="268">
        <f>'Cost Inputs'!$B157</f>
        <v>3742</v>
      </c>
      <c r="H31" s="268">
        <f>'Cost Inputs'!$B157</f>
        <v>3742</v>
      </c>
      <c r="I31" s="268">
        <f>'Cost Inputs'!$B157</f>
        <v>3742</v>
      </c>
      <c r="J31" s="268">
        <f>'Cost Inputs'!$B157</f>
        <v>3742</v>
      </c>
      <c r="K31" s="268">
        <f>'Cost Inputs'!$B157</f>
        <v>3742</v>
      </c>
      <c r="L31" s="268">
        <f>'Cost Inputs'!$B157</f>
        <v>3742</v>
      </c>
      <c r="M31" s="268">
        <f>'Cost Inputs'!$B157</f>
        <v>3742</v>
      </c>
      <c r="N31" s="268">
        <f>'Cost Inputs'!$B157</f>
        <v>3742</v>
      </c>
      <c r="O31" s="268">
        <f>'Cost Inputs'!$B157</f>
        <v>3742</v>
      </c>
      <c r="P31" s="268">
        <f>'Cost Inputs'!$B157</f>
        <v>3742</v>
      </c>
    </row>
    <row r="32" spans="1:16" x14ac:dyDescent="0.25">
      <c r="A32" s="244" t="s">
        <v>354</v>
      </c>
      <c r="B32" s="244" t="s">
        <v>357</v>
      </c>
      <c r="C32" s="244" t="s">
        <v>22</v>
      </c>
      <c r="D32" s="685"/>
      <c r="E32" s="268">
        <f>'Cost Inputs'!$B158</f>
        <v>527</v>
      </c>
      <c r="F32" s="268">
        <f>'Cost Inputs'!$B158</f>
        <v>527</v>
      </c>
      <c r="G32" s="268">
        <f>'Cost Inputs'!$B158</f>
        <v>527</v>
      </c>
      <c r="H32" s="268">
        <f>'Cost Inputs'!$B158</f>
        <v>527</v>
      </c>
      <c r="I32" s="268">
        <f>'Cost Inputs'!$B158</f>
        <v>527</v>
      </c>
      <c r="J32" s="268">
        <f>'Cost Inputs'!$B158</f>
        <v>527</v>
      </c>
      <c r="K32" s="268">
        <f>'Cost Inputs'!$B158</f>
        <v>527</v>
      </c>
      <c r="L32" s="268">
        <f>'Cost Inputs'!$B158</f>
        <v>527</v>
      </c>
      <c r="M32" s="268">
        <f>'Cost Inputs'!$B158</f>
        <v>527</v>
      </c>
      <c r="N32" s="268">
        <f>'Cost Inputs'!$B158</f>
        <v>527</v>
      </c>
      <c r="O32" s="268">
        <f>'Cost Inputs'!$B158</f>
        <v>527</v>
      </c>
      <c r="P32" s="268">
        <f>'Cost Inputs'!$B158</f>
        <v>527</v>
      </c>
    </row>
    <row r="33" spans="1:16" x14ac:dyDescent="0.25">
      <c r="A33" s="244" t="s">
        <v>883</v>
      </c>
      <c r="B33" s="244" t="s">
        <v>890</v>
      </c>
      <c r="C33" s="244" t="s">
        <v>22</v>
      </c>
      <c r="D33" s="685"/>
      <c r="E33" s="268">
        <f>'Cost Inputs'!$B159</f>
        <v>1017</v>
      </c>
      <c r="F33" s="268">
        <f>'Cost Inputs'!$B159</f>
        <v>1017</v>
      </c>
      <c r="G33" s="268">
        <f>'Cost Inputs'!$B159</f>
        <v>1017</v>
      </c>
      <c r="H33" s="268">
        <f>'Cost Inputs'!$B159</f>
        <v>1017</v>
      </c>
      <c r="I33" s="268">
        <f>'Cost Inputs'!$B159</f>
        <v>1017</v>
      </c>
      <c r="J33" s="268">
        <f>'Cost Inputs'!$B159</f>
        <v>1017</v>
      </c>
      <c r="K33" s="268">
        <f>'Cost Inputs'!$B159</f>
        <v>1017</v>
      </c>
      <c r="L33" s="268">
        <f>'Cost Inputs'!$B159</f>
        <v>1017</v>
      </c>
      <c r="M33" s="268">
        <f>'Cost Inputs'!$B159</f>
        <v>1017</v>
      </c>
      <c r="N33" s="268">
        <f>'Cost Inputs'!$B159</f>
        <v>1017</v>
      </c>
      <c r="O33" s="268">
        <f>'Cost Inputs'!$B159</f>
        <v>1017</v>
      </c>
      <c r="P33" s="268">
        <f>'Cost Inputs'!$B159</f>
        <v>1017</v>
      </c>
    </row>
    <row r="34" spans="1:16" x14ac:dyDescent="0.25">
      <c r="A34" s="244" t="s">
        <v>578</v>
      </c>
      <c r="B34" s="244" t="s">
        <v>357</v>
      </c>
      <c r="C34" s="244" t="s">
        <v>22</v>
      </c>
      <c r="D34" s="685"/>
      <c r="E34" s="268">
        <f>'Cost Inputs'!$B160</f>
        <v>610</v>
      </c>
      <c r="F34" s="268">
        <f>'Cost Inputs'!$B160</f>
        <v>610</v>
      </c>
      <c r="G34" s="268">
        <f>'Cost Inputs'!$B160</f>
        <v>610</v>
      </c>
      <c r="H34" s="268">
        <f>'Cost Inputs'!$B160</f>
        <v>610</v>
      </c>
      <c r="I34" s="268">
        <f>'Cost Inputs'!$B160</f>
        <v>610</v>
      </c>
      <c r="J34" s="268">
        <f>'Cost Inputs'!$B160</f>
        <v>610</v>
      </c>
      <c r="K34" s="268">
        <f>'Cost Inputs'!$B160</f>
        <v>610</v>
      </c>
      <c r="L34" s="268">
        <f>'Cost Inputs'!$B160</f>
        <v>610</v>
      </c>
      <c r="M34" s="268">
        <f>'Cost Inputs'!$B160</f>
        <v>610</v>
      </c>
      <c r="N34" s="268">
        <f>'Cost Inputs'!$B160</f>
        <v>610</v>
      </c>
      <c r="O34" s="268">
        <f>'Cost Inputs'!$B160</f>
        <v>610</v>
      </c>
      <c r="P34" s="268">
        <f>'Cost Inputs'!$B160</f>
        <v>610</v>
      </c>
    </row>
    <row r="35" spans="1:16" x14ac:dyDescent="0.25">
      <c r="A35" s="244" t="s">
        <v>580</v>
      </c>
      <c r="B35" s="244" t="s">
        <v>357</v>
      </c>
      <c r="C35" s="244" t="s">
        <v>22</v>
      </c>
      <c r="D35" s="685"/>
      <c r="E35" s="268">
        <f>'Cost Inputs'!$B161</f>
        <v>1005</v>
      </c>
      <c r="F35" s="268">
        <f>'Cost Inputs'!$B161</f>
        <v>1005</v>
      </c>
      <c r="G35" s="268">
        <f>'Cost Inputs'!$B161</f>
        <v>1005</v>
      </c>
      <c r="H35" s="268">
        <f>'Cost Inputs'!$B161</f>
        <v>1005</v>
      </c>
      <c r="I35" s="268">
        <f>'Cost Inputs'!$B161</f>
        <v>1005</v>
      </c>
      <c r="J35" s="268">
        <f>'Cost Inputs'!$B161</f>
        <v>1005</v>
      </c>
      <c r="K35" s="268">
        <f>'Cost Inputs'!$B161</f>
        <v>1005</v>
      </c>
      <c r="L35" s="268">
        <f>'Cost Inputs'!$B161</f>
        <v>1005</v>
      </c>
      <c r="M35" s="268">
        <f>'Cost Inputs'!$B161</f>
        <v>1005</v>
      </c>
      <c r="N35" s="268">
        <f>'Cost Inputs'!$B161</f>
        <v>1005</v>
      </c>
      <c r="O35" s="268">
        <f>'Cost Inputs'!$B161</f>
        <v>1005</v>
      </c>
      <c r="P35" s="268">
        <f>'Cost Inputs'!$B161</f>
        <v>1005</v>
      </c>
    </row>
    <row r="36" spans="1:16" x14ac:dyDescent="0.25">
      <c r="A36" s="244" t="s">
        <v>355</v>
      </c>
      <c r="B36" s="244" t="s">
        <v>357</v>
      </c>
      <c r="C36" s="244" t="s">
        <v>22</v>
      </c>
      <c r="D36" s="685"/>
      <c r="E36" s="268">
        <f>'Cost Inputs'!$B164</f>
        <v>3742</v>
      </c>
      <c r="F36" s="268">
        <f>'Cost Inputs'!$B164</f>
        <v>3742</v>
      </c>
      <c r="G36" s="268">
        <f>'Cost Inputs'!$B164</f>
        <v>3742</v>
      </c>
      <c r="H36" s="268">
        <f>'Cost Inputs'!$B164</f>
        <v>3742</v>
      </c>
      <c r="I36" s="268">
        <f>'Cost Inputs'!$B164</f>
        <v>3742</v>
      </c>
      <c r="J36" s="268">
        <f>'Cost Inputs'!$B164</f>
        <v>3742</v>
      </c>
      <c r="K36" s="268">
        <f>'Cost Inputs'!$B164</f>
        <v>3742</v>
      </c>
      <c r="L36" s="268">
        <f>'Cost Inputs'!$B164</f>
        <v>3742</v>
      </c>
      <c r="M36" s="268">
        <f>'Cost Inputs'!$B164</f>
        <v>3742</v>
      </c>
      <c r="N36" s="268">
        <f>'Cost Inputs'!$B164</f>
        <v>3742</v>
      </c>
      <c r="O36" s="268">
        <f>'Cost Inputs'!$B164</f>
        <v>3742</v>
      </c>
      <c r="P36" s="268">
        <f>'Cost Inputs'!$B164</f>
        <v>3742</v>
      </c>
    </row>
    <row r="37" spans="1:16" x14ac:dyDescent="0.25">
      <c r="A37" s="244" t="s">
        <v>356</v>
      </c>
      <c r="B37" s="244" t="s">
        <v>357</v>
      </c>
      <c r="C37" s="244" t="s">
        <v>22</v>
      </c>
      <c r="D37" s="685"/>
      <c r="E37" s="268">
        <f>'Cost Inputs'!$B165</f>
        <v>527</v>
      </c>
      <c r="F37" s="268">
        <f>'Cost Inputs'!$B165</f>
        <v>527</v>
      </c>
      <c r="G37" s="268">
        <f>'Cost Inputs'!$B165</f>
        <v>527</v>
      </c>
      <c r="H37" s="268">
        <f>'Cost Inputs'!$B165</f>
        <v>527</v>
      </c>
      <c r="I37" s="268">
        <f>'Cost Inputs'!$B165</f>
        <v>527</v>
      </c>
      <c r="J37" s="268">
        <f>'Cost Inputs'!$B165</f>
        <v>527</v>
      </c>
      <c r="K37" s="268">
        <f>'Cost Inputs'!$B165</f>
        <v>527</v>
      </c>
      <c r="L37" s="268">
        <f>'Cost Inputs'!$B165</f>
        <v>527</v>
      </c>
      <c r="M37" s="268">
        <f>'Cost Inputs'!$B165</f>
        <v>527</v>
      </c>
      <c r="N37" s="268">
        <f>'Cost Inputs'!$B165</f>
        <v>527</v>
      </c>
      <c r="O37" s="268">
        <f>'Cost Inputs'!$B165</f>
        <v>527</v>
      </c>
      <c r="P37" s="268">
        <f>'Cost Inputs'!$B165</f>
        <v>527</v>
      </c>
    </row>
    <row r="38" spans="1:16" x14ac:dyDescent="0.25">
      <c r="A38" s="244" t="s">
        <v>884</v>
      </c>
      <c r="B38" s="244" t="s">
        <v>890</v>
      </c>
      <c r="C38" s="244" t="s">
        <v>22</v>
      </c>
      <c r="D38" s="685"/>
      <c r="E38" s="268">
        <f>'Cost Inputs'!$B166</f>
        <v>1017</v>
      </c>
      <c r="F38" s="268">
        <f>'Cost Inputs'!$B166</f>
        <v>1017</v>
      </c>
      <c r="G38" s="268">
        <f>'Cost Inputs'!$B166</f>
        <v>1017</v>
      </c>
      <c r="H38" s="268">
        <f>'Cost Inputs'!$B166</f>
        <v>1017</v>
      </c>
      <c r="I38" s="268">
        <f>'Cost Inputs'!$B166</f>
        <v>1017</v>
      </c>
      <c r="J38" s="268">
        <f>'Cost Inputs'!$B166</f>
        <v>1017</v>
      </c>
      <c r="K38" s="268">
        <f>'Cost Inputs'!$B166</f>
        <v>1017</v>
      </c>
      <c r="L38" s="268">
        <f>'Cost Inputs'!$B166</f>
        <v>1017</v>
      </c>
      <c r="M38" s="268">
        <f>'Cost Inputs'!$B166</f>
        <v>1017</v>
      </c>
      <c r="N38" s="268">
        <f>'Cost Inputs'!$B166</f>
        <v>1017</v>
      </c>
      <c r="O38" s="268">
        <f>'Cost Inputs'!$B166</f>
        <v>1017</v>
      </c>
      <c r="P38" s="268">
        <f>'Cost Inputs'!$B166</f>
        <v>1017</v>
      </c>
    </row>
    <row r="39" spans="1:16" x14ac:dyDescent="0.25">
      <c r="A39" s="244" t="s">
        <v>579</v>
      </c>
      <c r="B39" s="244" t="s">
        <v>357</v>
      </c>
      <c r="C39" s="244" t="s">
        <v>22</v>
      </c>
      <c r="D39" s="685"/>
      <c r="E39" s="268">
        <f>'Cost Inputs'!$B167</f>
        <v>610</v>
      </c>
      <c r="F39" s="268">
        <f>'Cost Inputs'!$B167</f>
        <v>610</v>
      </c>
      <c r="G39" s="268">
        <f>'Cost Inputs'!$B167</f>
        <v>610</v>
      </c>
      <c r="H39" s="268">
        <f>'Cost Inputs'!$B167</f>
        <v>610</v>
      </c>
      <c r="I39" s="268">
        <f>'Cost Inputs'!$B167</f>
        <v>610</v>
      </c>
      <c r="J39" s="268">
        <f>'Cost Inputs'!$B167</f>
        <v>610</v>
      </c>
      <c r="K39" s="268">
        <f>'Cost Inputs'!$B167</f>
        <v>610</v>
      </c>
      <c r="L39" s="268">
        <f>'Cost Inputs'!$B167</f>
        <v>610</v>
      </c>
      <c r="M39" s="268">
        <f>'Cost Inputs'!$B167</f>
        <v>610</v>
      </c>
      <c r="N39" s="268">
        <f>'Cost Inputs'!$B167</f>
        <v>610</v>
      </c>
      <c r="O39" s="268">
        <f>'Cost Inputs'!$B167</f>
        <v>610</v>
      </c>
      <c r="P39" s="268">
        <f>'Cost Inputs'!$B167</f>
        <v>610</v>
      </c>
    </row>
    <row r="40" spans="1:16" x14ac:dyDescent="0.25">
      <c r="A40" s="244" t="s">
        <v>581</v>
      </c>
      <c r="B40" s="244" t="s">
        <v>357</v>
      </c>
      <c r="C40" s="244" t="s">
        <v>22</v>
      </c>
      <c r="D40" s="685"/>
      <c r="E40" s="268">
        <f>'Cost Inputs'!$B168</f>
        <v>1005</v>
      </c>
      <c r="F40" s="268">
        <f>'Cost Inputs'!$B168</f>
        <v>1005</v>
      </c>
      <c r="G40" s="268">
        <f>'Cost Inputs'!$B168</f>
        <v>1005</v>
      </c>
      <c r="H40" s="268">
        <f>'Cost Inputs'!$B168</f>
        <v>1005</v>
      </c>
      <c r="I40" s="268">
        <f>'Cost Inputs'!$B168</f>
        <v>1005</v>
      </c>
      <c r="J40" s="268">
        <f>'Cost Inputs'!$B168</f>
        <v>1005</v>
      </c>
      <c r="K40" s="268">
        <f>'Cost Inputs'!$B168</f>
        <v>1005</v>
      </c>
      <c r="L40" s="268">
        <f>'Cost Inputs'!$B168</f>
        <v>1005</v>
      </c>
      <c r="M40" s="268">
        <f>'Cost Inputs'!$B168</f>
        <v>1005</v>
      </c>
      <c r="N40" s="268">
        <f>'Cost Inputs'!$B168</f>
        <v>1005</v>
      </c>
      <c r="O40" s="268">
        <f>'Cost Inputs'!$B168</f>
        <v>1005</v>
      </c>
      <c r="P40" s="268">
        <f>'Cost Inputs'!$B168</f>
        <v>1005</v>
      </c>
    </row>
    <row r="41" spans="1:16" x14ac:dyDescent="0.25">
      <c r="A41" s="244" t="s">
        <v>809</v>
      </c>
      <c r="B41" s="244" t="s">
        <v>357</v>
      </c>
      <c r="C41" s="244" t="s">
        <v>22</v>
      </c>
      <c r="D41" s="685"/>
      <c r="E41" s="268">
        <f>'Cost Inputs'!B174+'Cost Inputs'!B178</f>
        <v>3</v>
      </c>
      <c r="F41" s="685"/>
      <c r="G41" s="685"/>
      <c r="H41" s="685"/>
      <c r="I41" s="685"/>
      <c r="J41" s="685"/>
      <c r="K41" s="268">
        <f>'Cost Inputs'!B175</f>
        <v>1</v>
      </c>
      <c r="L41" s="685"/>
      <c r="M41" s="685"/>
      <c r="N41" s="685"/>
      <c r="O41" s="685"/>
      <c r="P41" s="685"/>
    </row>
    <row r="42" spans="1:16" x14ac:dyDescent="0.25">
      <c r="A42" s="244" t="s">
        <v>810</v>
      </c>
      <c r="B42" s="244" t="s">
        <v>357</v>
      </c>
      <c r="C42" s="244" t="s">
        <v>22</v>
      </c>
      <c r="D42" s="685"/>
      <c r="E42" s="685"/>
      <c r="F42" s="268">
        <f>'Cost Inputs'!$B174+'Cost Inputs'!$B178</f>
        <v>3</v>
      </c>
      <c r="G42" s="268">
        <f>'Cost Inputs'!$B174+'Cost Inputs'!$B178</f>
        <v>3</v>
      </c>
      <c r="H42" s="268">
        <f>'Cost Inputs'!$B174+'Cost Inputs'!$B178</f>
        <v>3</v>
      </c>
      <c r="I42" s="268">
        <f>'Cost Inputs'!$B174+'Cost Inputs'!$B178</f>
        <v>3</v>
      </c>
      <c r="J42" s="268">
        <f>'Cost Inputs'!$B174+'Cost Inputs'!$B178</f>
        <v>3</v>
      </c>
      <c r="K42" s="268">
        <f>'Cost Inputs'!$B174+'Cost Inputs'!$B178</f>
        <v>3</v>
      </c>
      <c r="L42" s="268">
        <f>'Cost Inputs'!$B174+'Cost Inputs'!$B178+'Cost Inputs'!$B175</f>
        <v>4</v>
      </c>
      <c r="M42" s="268">
        <f>'Cost Inputs'!$B174+'Cost Inputs'!$B178+'Cost Inputs'!$B175</f>
        <v>4</v>
      </c>
      <c r="N42" s="268">
        <f>'Cost Inputs'!$B174+'Cost Inputs'!$B178+'Cost Inputs'!$B175</f>
        <v>4</v>
      </c>
      <c r="O42" s="268">
        <f>'Cost Inputs'!$B174+'Cost Inputs'!$B178+'Cost Inputs'!$B175</f>
        <v>4</v>
      </c>
      <c r="P42" s="268">
        <f>'Cost Inputs'!$B174+'Cost Inputs'!$B178+'Cost Inputs'!$B175</f>
        <v>4</v>
      </c>
    </row>
    <row r="43" spans="1:16" x14ac:dyDescent="0.25">
      <c r="A43" s="244" t="s">
        <v>811</v>
      </c>
      <c r="B43" s="244" t="s">
        <v>357</v>
      </c>
      <c r="C43" s="244" t="s">
        <v>22</v>
      </c>
      <c r="D43" s="268">
        <f>'Cost Inputs'!B177</f>
        <v>1</v>
      </c>
      <c r="E43" s="685"/>
      <c r="F43" s="685"/>
      <c r="G43" s="685"/>
      <c r="H43" s="685"/>
      <c r="I43" s="685"/>
      <c r="J43" s="685"/>
      <c r="K43" s="685"/>
      <c r="L43" s="685"/>
      <c r="M43" s="685"/>
      <c r="N43" s="685"/>
      <c r="O43" s="685"/>
      <c r="P43" s="685"/>
    </row>
    <row r="44" spans="1:16" x14ac:dyDescent="0.25">
      <c r="A44" s="244" t="s">
        <v>812</v>
      </c>
      <c r="B44" s="244" t="s">
        <v>357</v>
      </c>
      <c r="C44" s="244" t="s">
        <v>22</v>
      </c>
      <c r="D44" s="685"/>
      <c r="E44" s="268">
        <f>'Cost Inputs'!$B177</f>
        <v>1</v>
      </c>
      <c r="F44" s="268">
        <f>'Cost Inputs'!$B177</f>
        <v>1</v>
      </c>
      <c r="G44" s="268">
        <f>'Cost Inputs'!$B177</f>
        <v>1</v>
      </c>
      <c r="H44" s="268">
        <f>'Cost Inputs'!$B177</f>
        <v>1</v>
      </c>
      <c r="I44" s="268">
        <f>'Cost Inputs'!$B177</f>
        <v>1</v>
      </c>
      <c r="J44" s="268">
        <f>'Cost Inputs'!$B177</f>
        <v>1</v>
      </c>
      <c r="K44" s="268">
        <f>'Cost Inputs'!$B177</f>
        <v>1</v>
      </c>
      <c r="L44" s="268">
        <f>'Cost Inputs'!$B177</f>
        <v>1</v>
      </c>
      <c r="M44" s="268">
        <f>'Cost Inputs'!$B177</f>
        <v>1</v>
      </c>
      <c r="N44" s="268">
        <f>'Cost Inputs'!$B177</f>
        <v>1</v>
      </c>
      <c r="O44" s="268">
        <f>'Cost Inputs'!$B177</f>
        <v>1</v>
      </c>
      <c r="P44" s="268">
        <f>'Cost Inputs'!$B177</f>
        <v>1</v>
      </c>
    </row>
    <row r="45" spans="1:16" x14ac:dyDescent="0.25">
      <c r="A45" s="244" t="s">
        <v>784</v>
      </c>
      <c r="B45" s="244" t="s">
        <v>357</v>
      </c>
      <c r="C45" s="244" t="s">
        <v>22</v>
      </c>
      <c r="D45" s="268">
        <f>'Cost Inputs'!$B$179</f>
        <v>1</v>
      </c>
      <c r="E45" s="268">
        <f>'Cost Inputs'!$B$176</f>
        <v>1</v>
      </c>
      <c r="F45" s="685"/>
      <c r="G45" s="685"/>
      <c r="H45" s="685"/>
      <c r="I45" s="685"/>
      <c r="J45" s="685"/>
      <c r="K45" s="685"/>
      <c r="L45" s="685"/>
      <c r="M45" s="685"/>
      <c r="N45" s="685"/>
      <c r="O45" s="685"/>
      <c r="P45" s="685"/>
    </row>
    <row r="46" spans="1:16" x14ac:dyDescent="0.25">
      <c r="A46" s="244" t="s">
        <v>785</v>
      </c>
      <c r="B46" s="244" t="s">
        <v>357</v>
      </c>
      <c r="C46" s="244" t="s">
        <v>22</v>
      </c>
      <c r="D46" s="685"/>
      <c r="E46" s="268">
        <f>'Cost Inputs'!$B$179+'Cost Inputs'!$B$176</f>
        <v>2</v>
      </c>
      <c r="F46" s="268">
        <f>'Cost Inputs'!$B$179+'Cost Inputs'!$B$176</f>
        <v>2</v>
      </c>
      <c r="G46" s="268">
        <f>'Cost Inputs'!$B$179+'Cost Inputs'!$B$176</f>
        <v>2</v>
      </c>
      <c r="H46" s="268">
        <f>'Cost Inputs'!$B$179+'Cost Inputs'!$B$176</f>
        <v>2</v>
      </c>
      <c r="I46" s="268">
        <f>'Cost Inputs'!$B$179+'Cost Inputs'!$B$176</f>
        <v>2</v>
      </c>
      <c r="J46" s="268">
        <f>'Cost Inputs'!$B$179+'Cost Inputs'!$B$176</f>
        <v>2</v>
      </c>
      <c r="K46" s="268">
        <f>'Cost Inputs'!$B$179+'Cost Inputs'!$B$176</f>
        <v>2</v>
      </c>
      <c r="L46" s="268">
        <f>'Cost Inputs'!$B$179+'Cost Inputs'!$B$176</f>
        <v>2</v>
      </c>
      <c r="M46" s="268">
        <f>'Cost Inputs'!$B$179+'Cost Inputs'!$B$176</f>
        <v>2</v>
      </c>
      <c r="N46" s="268">
        <f>'Cost Inputs'!$B$179+'Cost Inputs'!$B$176</f>
        <v>2</v>
      </c>
      <c r="O46" s="268">
        <f>'Cost Inputs'!$B$179+'Cost Inputs'!$B$176</f>
        <v>2</v>
      </c>
      <c r="P46" s="268">
        <f>'Cost Inputs'!$B$179+'Cost Inputs'!$B$176</f>
        <v>2</v>
      </c>
    </row>
    <row r="47" spans="1:16" x14ac:dyDescent="0.25">
      <c r="A47" s="244" t="s">
        <v>360</v>
      </c>
      <c r="B47" s="244" t="s">
        <v>357</v>
      </c>
      <c r="C47" s="244" t="s">
        <v>22</v>
      </c>
      <c r="D47" s="685"/>
      <c r="E47" s="268">
        <f>'Cost Inputs'!B184</f>
        <v>2</v>
      </c>
      <c r="F47" s="685"/>
      <c r="G47" s="685"/>
      <c r="H47" s="685"/>
      <c r="I47" s="685"/>
      <c r="J47" s="685"/>
      <c r="K47" s="685"/>
      <c r="L47" s="685"/>
      <c r="M47" s="685"/>
      <c r="N47" s="685"/>
      <c r="O47" s="685"/>
      <c r="P47" s="685"/>
    </row>
    <row r="48" spans="1:16" x14ac:dyDescent="0.25">
      <c r="A48" s="244" t="s">
        <v>361</v>
      </c>
      <c r="B48" s="244" t="s">
        <v>357</v>
      </c>
      <c r="C48" s="244" t="s">
        <v>22</v>
      </c>
      <c r="D48" s="685"/>
      <c r="E48" s="685"/>
      <c r="F48" s="268">
        <f>'Cost Inputs'!$B184</f>
        <v>2</v>
      </c>
      <c r="G48" s="268">
        <f>'Cost Inputs'!$B184</f>
        <v>2</v>
      </c>
      <c r="H48" s="268">
        <f>'Cost Inputs'!$B184</f>
        <v>2</v>
      </c>
      <c r="I48" s="268">
        <f>'Cost Inputs'!$B184</f>
        <v>2</v>
      </c>
      <c r="J48" s="268">
        <f>'Cost Inputs'!$B184</f>
        <v>2</v>
      </c>
      <c r="K48" s="268">
        <f>'Cost Inputs'!$B184</f>
        <v>2</v>
      </c>
      <c r="L48" s="268">
        <f>'Cost Inputs'!$B184</f>
        <v>2</v>
      </c>
      <c r="M48" s="268">
        <f>'Cost Inputs'!$B184</f>
        <v>2</v>
      </c>
      <c r="N48" s="268">
        <f>'Cost Inputs'!$B184</f>
        <v>2</v>
      </c>
      <c r="O48" s="268">
        <f>'Cost Inputs'!$B184</f>
        <v>2</v>
      </c>
      <c r="P48" s="268">
        <f>'Cost Inputs'!$B184</f>
        <v>2</v>
      </c>
    </row>
    <row r="49" spans="1:16" x14ac:dyDescent="0.25">
      <c r="A49" s="244" t="s">
        <v>718</v>
      </c>
      <c r="B49" s="244" t="s">
        <v>357</v>
      </c>
      <c r="C49" s="244" t="s">
        <v>22</v>
      </c>
      <c r="D49" s="685"/>
      <c r="E49" s="268">
        <f>'Cost Inputs'!B185</f>
        <v>1</v>
      </c>
      <c r="F49" s="685"/>
      <c r="G49" s="685"/>
      <c r="H49" s="685"/>
      <c r="I49" s="685"/>
      <c r="J49" s="685"/>
      <c r="K49" s="685"/>
      <c r="L49" s="685"/>
      <c r="M49" s="685"/>
      <c r="N49" s="685"/>
      <c r="O49" s="685"/>
      <c r="P49" s="685"/>
    </row>
    <row r="50" spans="1:16" x14ac:dyDescent="0.25">
      <c r="A50" s="244" t="s">
        <v>719</v>
      </c>
      <c r="B50" s="244" t="s">
        <v>357</v>
      </c>
      <c r="C50" s="244" t="s">
        <v>22</v>
      </c>
      <c r="D50" s="685"/>
      <c r="E50" s="685"/>
      <c r="F50" s="268">
        <f>'Cost Inputs'!$B185</f>
        <v>1</v>
      </c>
      <c r="G50" s="268">
        <f>'Cost Inputs'!$B185</f>
        <v>1</v>
      </c>
      <c r="H50" s="268">
        <f>'Cost Inputs'!$B185</f>
        <v>1</v>
      </c>
      <c r="I50" s="268">
        <f>'Cost Inputs'!$B185</f>
        <v>1</v>
      </c>
      <c r="J50" s="268">
        <f>'Cost Inputs'!$B185</f>
        <v>1</v>
      </c>
      <c r="K50" s="268">
        <f>'Cost Inputs'!$B185</f>
        <v>1</v>
      </c>
      <c r="L50" s="268">
        <f>'Cost Inputs'!$B185</f>
        <v>1</v>
      </c>
      <c r="M50" s="268">
        <f>'Cost Inputs'!$B185</f>
        <v>1</v>
      </c>
      <c r="N50" s="268">
        <f>'Cost Inputs'!$B185</f>
        <v>1</v>
      </c>
      <c r="O50" s="268">
        <f>'Cost Inputs'!$B185</f>
        <v>1</v>
      </c>
      <c r="P50" s="268">
        <f>'Cost Inputs'!$B185</f>
        <v>1</v>
      </c>
    </row>
    <row r="51" spans="1:16" x14ac:dyDescent="0.25">
      <c r="A51" s="244" t="s">
        <v>720</v>
      </c>
      <c r="B51" s="244" t="s">
        <v>357</v>
      </c>
      <c r="C51" s="244" t="s">
        <v>22</v>
      </c>
      <c r="D51" s="685"/>
      <c r="E51" s="268">
        <f>'Cost Inputs'!$B$186</f>
        <v>1</v>
      </c>
      <c r="F51" s="685"/>
      <c r="G51" s="685"/>
      <c r="H51" s="685"/>
      <c r="I51" s="685"/>
      <c r="J51" s="685"/>
      <c r="K51" s="685"/>
      <c r="L51" s="685"/>
      <c r="M51" s="685"/>
      <c r="N51" s="685"/>
      <c r="O51" s="685"/>
      <c r="P51" s="685"/>
    </row>
    <row r="52" spans="1:16" x14ac:dyDescent="0.25">
      <c r="A52" s="244" t="s">
        <v>721</v>
      </c>
      <c r="B52" s="244" t="s">
        <v>357</v>
      </c>
      <c r="C52" s="244" t="s">
        <v>22</v>
      </c>
      <c r="D52" s="685"/>
      <c r="E52" s="685"/>
      <c r="F52" s="268">
        <f>'Cost Inputs'!$B$186</f>
        <v>1</v>
      </c>
      <c r="G52" s="268">
        <f>'Cost Inputs'!$B$186</f>
        <v>1</v>
      </c>
      <c r="H52" s="268">
        <f>'Cost Inputs'!$B$186</f>
        <v>1</v>
      </c>
      <c r="I52" s="268">
        <f>'Cost Inputs'!$B$186</f>
        <v>1</v>
      </c>
      <c r="J52" s="268">
        <f>'Cost Inputs'!$B$186</f>
        <v>1</v>
      </c>
      <c r="K52" s="268">
        <f>'Cost Inputs'!$B$186</f>
        <v>1</v>
      </c>
      <c r="L52" s="268">
        <f>'Cost Inputs'!$B$186</f>
        <v>1</v>
      </c>
      <c r="M52" s="268">
        <f>'Cost Inputs'!$B$186</f>
        <v>1</v>
      </c>
      <c r="N52" s="268">
        <f>'Cost Inputs'!$B$186</f>
        <v>1</v>
      </c>
      <c r="O52" s="268">
        <f>'Cost Inputs'!$B$186</f>
        <v>1</v>
      </c>
      <c r="P52" s="268">
        <f>'Cost Inputs'!$B$186</f>
        <v>1</v>
      </c>
    </row>
    <row r="53" spans="1:16" x14ac:dyDescent="0.25">
      <c r="A53" s="244" t="s">
        <v>723</v>
      </c>
      <c r="B53" s="244" t="s">
        <v>357</v>
      </c>
      <c r="C53" s="244" t="s">
        <v>22</v>
      </c>
      <c r="D53" s="685"/>
      <c r="E53" s="268">
        <f>'Cost Inputs'!$B$187</f>
        <v>1</v>
      </c>
      <c r="F53" s="685"/>
      <c r="G53" s="685"/>
      <c r="H53" s="685"/>
      <c r="I53" s="685"/>
      <c r="J53" s="685"/>
      <c r="K53" s="685"/>
      <c r="L53" s="685"/>
      <c r="M53" s="685"/>
      <c r="N53" s="685"/>
      <c r="O53" s="685"/>
      <c r="P53" s="685"/>
    </row>
    <row r="54" spans="1:16" x14ac:dyDescent="0.25">
      <c r="A54" s="244" t="s">
        <v>724</v>
      </c>
      <c r="B54" s="244" t="s">
        <v>357</v>
      </c>
      <c r="C54" s="244" t="s">
        <v>22</v>
      </c>
      <c r="D54" s="685"/>
      <c r="E54" s="685"/>
      <c r="F54" s="268">
        <f>'Cost Inputs'!$B$187</f>
        <v>1</v>
      </c>
      <c r="G54" s="268">
        <f>'Cost Inputs'!$B$187</f>
        <v>1</v>
      </c>
      <c r="H54" s="268">
        <f>'Cost Inputs'!$B$187</f>
        <v>1</v>
      </c>
      <c r="I54" s="268">
        <f>'Cost Inputs'!$B$187</f>
        <v>1</v>
      </c>
      <c r="J54" s="268">
        <f>'Cost Inputs'!$B$187</f>
        <v>1</v>
      </c>
      <c r="K54" s="268">
        <f>'Cost Inputs'!$B$187</f>
        <v>1</v>
      </c>
      <c r="L54" s="268">
        <f>'Cost Inputs'!$B$187</f>
        <v>1</v>
      </c>
      <c r="M54" s="268">
        <f>'Cost Inputs'!$B$187</f>
        <v>1</v>
      </c>
      <c r="N54" s="268">
        <f>'Cost Inputs'!$B$187</f>
        <v>1</v>
      </c>
      <c r="O54" s="268">
        <f>'Cost Inputs'!$B$187</f>
        <v>1</v>
      </c>
      <c r="P54" s="268">
        <f>'Cost Inputs'!$B$187</f>
        <v>1</v>
      </c>
    </row>
    <row r="55" spans="1:16" x14ac:dyDescent="0.25">
      <c r="A55" s="244" t="s">
        <v>799</v>
      </c>
      <c r="B55" s="244" t="s">
        <v>357</v>
      </c>
      <c r="C55" s="244" t="s">
        <v>22</v>
      </c>
      <c r="D55" s="685"/>
      <c r="E55" s="653">
        <f>'Cost Inputs'!$B162+'Cost Inputs'!$B163</f>
        <v>1043</v>
      </c>
      <c r="F55" s="653">
        <f>'Cost Inputs'!$B162+'Cost Inputs'!$B163</f>
        <v>1043</v>
      </c>
      <c r="G55" s="653">
        <f>'Cost Inputs'!$B162+'Cost Inputs'!$B163</f>
        <v>1043</v>
      </c>
      <c r="H55" s="653">
        <f>'Cost Inputs'!$B162+'Cost Inputs'!$B163</f>
        <v>1043</v>
      </c>
      <c r="I55" s="653">
        <f>'Cost Inputs'!$B162+'Cost Inputs'!$B163</f>
        <v>1043</v>
      </c>
      <c r="J55" s="653">
        <f>'Cost Inputs'!$B162+'Cost Inputs'!$B163</f>
        <v>1043</v>
      </c>
      <c r="K55" s="653">
        <f>'Cost Inputs'!$B162+'Cost Inputs'!$B163</f>
        <v>1043</v>
      </c>
      <c r="L55" s="653">
        <f>'Cost Inputs'!$B162+'Cost Inputs'!$B163</f>
        <v>1043</v>
      </c>
      <c r="M55" s="653">
        <f>'Cost Inputs'!$B162+'Cost Inputs'!$B163</f>
        <v>1043</v>
      </c>
      <c r="N55" s="653">
        <f>'Cost Inputs'!$B162+'Cost Inputs'!$B163</f>
        <v>1043</v>
      </c>
      <c r="O55" s="653">
        <f>'Cost Inputs'!$B162+'Cost Inputs'!$B163</f>
        <v>1043</v>
      </c>
      <c r="P55" s="653">
        <f>'Cost Inputs'!$B162+'Cost Inputs'!$B163</f>
        <v>1043</v>
      </c>
    </row>
    <row r="56" spans="1:16" x14ac:dyDescent="0.25">
      <c r="A56" s="244" t="s">
        <v>798</v>
      </c>
      <c r="B56" s="244" t="s">
        <v>357</v>
      </c>
      <c r="C56" s="244" t="s">
        <v>22</v>
      </c>
      <c r="D56" s="685"/>
      <c r="E56" s="653">
        <f>'Cost Inputs'!$B169+'Cost Inputs'!$B170</f>
        <v>1043</v>
      </c>
      <c r="F56" s="653">
        <f>'Cost Inputs'!$B169+'Cost Inputs'!$B170</f>
        <v>1043</v>
      </c>
      <c r="G56" s="653">
        <f>'Cost Inputs'!$B169+'Cost Inputs'!$B170</f>
        <v>1043</v>
      </c>
      <c r="H56" s="653">
        <f>'Cost Inputs'!$B169+'Cost Inputs'!$B170</f>
        <v>1043</v>
      </c>
      <c r="I56" s="653">
        <f>'Cost Inputs'!$B169+'Cost Inputs'!$B170</f>
        <v>1043</v>
      </c>
      <c r="J56" s="653">
        <f>'Cost Inputs'!$B169+'Cost Inputs'!$B170</f>
        <v>1043</v>
      </c>
      <c r="K56" s="653">
        <f>'Cost Inputs'!$B169+'Cost Inputs'!$B170</f>
        <v>1043</v>
      </c>
      <c r="L56" s="653">
        <f>'Cost Inputs'!$B169+'Cost Inputs'!$B170</f>
        <v>1043</v>
      </c>
      <c r="M56" s="653">
        <f>'Cost Inputs'!$B169+'Cost Inputs'!$B170</f>
        <v>1043</v>
      </c>
      <c r="N56" s="653">
        <f>'Cost Inputs'!$B169+'Cost Inputs'!$B170</f>
        <v>1043</v>
      </c>
      <c r="O56" s="653">
        <f>'Cost Inputs'!$B169+'Cost Inputs'!$B170</f>
        <v>1043</v>
      </c>
      <c r="P56" s="653">
        <f>'Cost Inputs'!$B169+'Cost Inputs'!$B170</f>
        <v>1043</v>
      </c>
    </row>
    <row r="57" spans="1:16" x14ac:dyDescent="0.25">
      <c r="A57" s="708" t="s">
        <v>232</v>
      </c>
      <c r="B57" s="244" t="s">
        <v>357</v>
      </c>
      <c r="C57" s="244" t="s">
        <v>27</v>
      </c>
      <c r="D57" s="272">
        <f>'SP Berth Retrofit'!E69</f>
        <v>0.15256235056907913</v>
      </c>
      <c r="E57" s="272">
        <f>'SP Berth Retrofit'!F69</f>
        <v>0.19385114943417511</v>
      </c>
      <c r="F57" s="272">
        <f>'SP Berth Retrofit'!G69</f>
        <v>0.23786367889837565</v>
      </c>
      <c r="G57" s="272">
        <f>'SP Berth Retrofit'!H69</f>
        <v>0.28465423170158566</v>
      </c>
      <c r="H57" s="272">
        <f>'SP Berth Retrofit'!I69</f>
        <v>0.33429164292179847</v>
      </c>
      <c r="I57" s="272">
        <f>'SP Berth Retrofit'!J69</f>
        <v>0.41005488530447487</v>
      </c>
      <c r="J57" s="272">
        <f>'SP Berth Retrofit'!K69</f>
        <v>0.44448774785521072</v>
      </c>
      <c r="K57" s="272">
        <f>'SP Berth Retrofit'!L69</f>
        <v>0.48217019049045101</v>
      </c>
      <c r="L57" s="272">
        <f>'SP Berth Retrofit'!M69</f>
        <v>0.5230248906889251</v>
      </c>
      <c r="M57" s="272">
        <f>'SP Berth Retrofit'!N69</f>
        <v>0.56700845918311726</v>
      </c>
      <c r="N57" s="272">
        <f>'SP Berth Retrofit'!O69</f>
        <v>0.61410530272263486</v>
      </c>
      <c r="O57" s="272">
        <f>'SP Berth Retrofit'!P69</f>
        <v>0.69124079785891168</v>
      </c>
      <c r="P57" s="272">
        <f>'SP Berth Retrofit'!Q69</f>
        <v>0.77207653050777736</v>
      </c>
    </row>
    <row r="58" spans="1:16" x14ac:dyDescent="0.25">
      <c r="A58" s="708" t="s">
        <v>233</v>
      </c>
      <c r="B58" s="244" t="s">
        <v>357</v>
      </c>
      <c r="C58" s="244" t="s">
        <v>27</v>
      </c>
      <c r="D58" s="272">
        <f>'SP Berth Retrofit'!E70</f>
        <v>0.15961450248024708</v>
      </c>
      <c r="E58" s="272">
        <f>'SP Berth Retrofit'!F70</f>
        <v>0.20229643347303783</v>
      </c>
      <c r="F58" s="272">
        <f>'SP Berth Retrofit'!G70</f>
        <v>0.24654935829988212</v>
      </c>
      <c r="G58" s="272">
        <f>'SP Berth Retrofit'!H70</f>
        <v>0.29243110053082899</v>
      </c>
      <c r="H58" s="272">
        <f>'SP Berth Retrofit'!I70</f>
        <v>0.34000161204806295</v>
      </c>
      <c r="I58" s="272">
        <f>'SP Berth Retrofit'!J70</f>
        <v>0.38932305138271844</v>
      </c>
      <c r="J58" s="272">
        <f>'SP Berth Retrofit'!K70</f>
        <v>0.44045986493496619</v>
      </c>
      <c r="K58" s="272">
        <f>'SP Berth Retrofit'!L70</f>
        <v>0.4934788711836221</v>
      </c>
      <c r="L58" s="272">
        <f>'SP Berth Retrofit'!M70</f>
        <v>0.548449347995285</v>
      </c>
      <c r="M58" s="272">
        <f>'SP Berth Retrofit'!N70</f>
        <v>0.60544312314694371</v>
      </c>
      <c r="N58" s="272">
        <f>'SP Berth Retrofit'!O70</f>
        <v>0.66453466818061258</v>
      </c>
      <c r="O58" s="272">
        <f>'SP Berth Retrofit'!P70</f>
        <v>0.7258011957123357</v>
      </c>
      <c r="P58" s="272">
        <f>'SP Berth Retrofit'!Q70</f>
        <v>0.78932276032292392</v>
      </c>
    </row>
    <row r="59" spans="1:16" x14ac:dyDescent="0.25">
      <c r="A59" s="708" t="s">
        <v>847</v>
      </c>
      <c r="B59" s="244" t="s">
        <v>357</v>
      </c>
      <c r="C59" s="244" t="s">
        <v>27</v>
      </c>
      <c r="D59" s="272">
        <f>'SP Berth Retrofit'!E71</f>
        <v>0.11487071873903137</v>
      </c>
      <c r="E59" s="272">
        <f>'SP Berth Retrofit'!F71</f>
        <v>0.15102739754508301</v>
      </c>
      <c r="F59" s="272">
        <f>'SP Berth Retrofit'!G71</f>
        <v>0.18440519556548982</v>
      </c>
      <c r="G59" s="272">
        <f>'SP Berth Retrofit'!H71</f>
        <v>0.21887580559911993</v>
      </c>
      <c r="H59" s="272">
        <f>'SP Berth Retrofit'!I71</f>
        <v>0.2544794366551939</v>
      </c>
      <c r="I59" s="272">
        <f>'SP Berth Retrofit'!J71</f>
        <v>0.29125791799611689</v>
      </c>
      <c r="J59" s="272">
        <f>'SP Berth Retrofit'!K71</f>
        <v>0.32914486406438159</v>
      </c>
      <c r="K59" s="272">
        <f>'SP Berth Retrofit'!L71</f>
        <v>0.35936354031630968</v>
      </c>
      <c r="L59" s="272">
        <f>'SP Berth Retrofit'!M71</f>
        <v>0.39027252206645779</v>
      </c>
      <c r="M59" s="272">
        <f>'SP Berth Retrofit'!N71</f>
        <v>0.42188765098325831</v>
      </c>
      <c r="N59" s="272">
        <f>'SP Berth Retrofit'!O71</f>
        <v>0.45422513389525299</v>
      </c>
      <c r="O59" s="272">
        <f>'SP Berth Retrofit'!P71</f>
        <v>0.48860137895136968</v>
      </c>
      <c r="P59" s="272">
        <f>'SP Berth Retrofit'!Q71</f>
        <v>0.52279793624620852</v>
      </c>
    </row>
    <row r="60" spans="1:16" x14ac:dyDescent="0.25">
      <c r="A60" s="708" t="s">
        <v>234</v>
      </c>
      <c r="B60" s="244" t="s">
        <v>357</v>
      </c>
      <c r="C60" s="244" t="s">
        <v>27</v>
      </c>
      <c r="D60" s="272">
        <f>'SP Berth Retrofit'!E72</f>
        <v>1.492791402705583E-2</v>
      </c>
      <c r="E60" s="272">
        <f>'SP Berth Retrofit'!F72</f>
        <v>2.6628462023319498E-2</v>
      </c>
      <c r="F60" s="272">
        <f>'SP Berth Retrofit'!G72</f>
        <v>3.4642567685373271E-2</v>
      </c>
      <c r="G60" s="272">
        <f>'SP Berth Retrofit'!H72</f>
        <v>4.2769630813193044E-2</v>
      </c>
      <c r="H60" s="272">
        <f>'SP Berth Retrofit'!I72</f>
        <v>5.1013291136714503E-2</v>
      </c>
      <c r="I60" s="272">
        <f>'SP Berth Retrofit'!J72</f>
        <v>5.9377352889062179E-2</v>
      </c>
      <c r="J60" s="272">
        <f>'SP Berth Retrofit'!K72</f>
        <v>7.0987745336126756E-2</v>
      </c>
      <c r="K60" s="272">
        <f>'SP Berth Retrofit'!L72</f>
        <v>8.2319423047410883E-2</v>
      </c>
      <c r="L60" s="272">
        <f>'SP Berth Retrofit'!M72</f>
        <v>9.3817950353126484E-2</v>
      </c>
      <c r="M60" s="272">
        <f>'SP Berth Retrofit'!N72</f>
        <v>0.10548686029160387</v>
      </c>
      <c r="N60" s="272">
        <f>'SP Berth Retrofit'!O72</f>
        <v>0.11732978702575415</v>
      </c>
      <c r="O60" s="272">
        <f>'SP Berth Retrofit'!P72</f>
        <v>0.13037367245195625</v>
      </c>
      <c r="P60" s="272">
        <f>'SP Berth Retrofit'!Q72</f>
        <v>0.14323738568409056</v>
      </c>
    </row>
    <row r="61" spans="1:16" x14ac:dyDescent="0.25">
      <c r="A61" s="708" t="s">
        <v>366</v>
      </c>
      <c r="B61" s="244" t="s">
        <v>890</v>
      </c>
      <c r="C61" s="244"/>
      <c r="D61" s="272">
        <f>Growth!B35</f>
        <v>0.11982039450649302</v>
      </c>
      <c r="E61" s="272">
        <f>Growth!C35</f>
        <v>0.15451796167076978</v>
      </c>
      <c r="F61" s="272">
        <f>Growth!D35</f>
        <v>0.18971929632100445</v>
      </c>
      <c r="G61" s="272">
        <f>Growth!E35</f>
        <v>0.22681500635404181</v>
      </c>
      <c r="H61" s="272">
        <f>Growth!F35</f>
        <v>0.26585578394512477</v>
      </c>
      <c r="I61" s="272">
        <f>Growth!G35</f>
        <v>0.32004027207139729</v>
      </c>
      <c r="J61" s="272">
        <f>Growth!H35</f>
        <v>0.35177711957191787</v>
      </c>
      <c r="K61" s="272">
        <f>Growth!I35</f>
        <v>0.38426863107073961</v>
      </c>
      <c r="L61" s="272">
        <f>Growth!J35</f>
        <v>0.41885237613672233</v>
      </c>
      <c r="M61" s="272">
        <f>Growth!K35</f>
        <v>0.45551265164949356</v>
      </c>
      <c r="N61" s="272">
        <f>Growth!L35</f>
        <v>0.49424978700647137</v>
      </c>
      <c r="O61" s="272">
        <f>Growth!M35</f>
        <v>0.55072981316357461</v>
      </c>
      <c r="P61" s="272">
        <f>Growth!N35</f>
        <v>0.60942208933025688</v>
      </c>
    </row>
    <row r="62" spans="1:16" x14ac:dyDescent="0.25">
      <c r="A62" s="708" t="s">
        <v>366</v>
      </c>
      <c r="B62" s="244" t="s">
        <v>367</v>
      </c>
      <c r="C62" s="244"/>
      <c r="D62" s="272">
        <f>Growth!B39</f>
        <v>0.1207210601453387</v>
      </c>
      <c r="E62" s="272">
        <f>Growth!C39</f>
        <v>0.15515312068236822</v>
      </c>
      <c r="F62" s="272">
        <f>Growth!D39</f>
        <v>0.19068627439728972</v>
      </c>
      <c r="G62" s="272">
        <f>Growth!E39</f>
        <v>0.22825965963150746</v>
      </c>
      <c r="H62" s="272">
        <f>Growth!F39</f>
        <v>0.2608612335522178</v>
      </c>
      <c r="I62" s="272">
        <f>Growth!G39</f>
        <v>0.32527764084838073</v>
      </c>
      <c r="J62" s="272">
        <f>Growth!H39</f>
        <v>0.35589538828745987</v>
      </c>
      <c r="K62" s="272">
        <f>Growth!I39</f>
        <v>0.38880047528209316</v>
      </c>
      <c r="L62" s="272">
        <f>Growth!J39</f>
        <v>0.42405289708670596</v>
      </c>
      <c r="M62" s="272">
        <f>Growth!K39</f>
        <v>0.46163121054689232</v>
      </c>
      <c r="N62" s="272">
        <f>Growth!L39</f>
        <v>0.50153285593009089</v>
      </c>
      <c r="O62" s="272">
        <f>Growth!M39</f>
        <v>0.5620349871828646</v>
      </c>
      <c r="P62" s="272">
        <f>Growth!N39</f>
        <v>0.62518461638097744</v>
      </c>
    </row>
    <row r="64" spans="1:16" ht="15.75" x14ac:dyDescent="0.25">
      <c r="A64" s="652" t="s">
        <v>261</v>
      </c>
    </row>
    <row r="65" spans="1:16" s="698" customFormat="1" ht="30" x14ac:dyDescent="0.25">
      <c r="A65" s="540" t="s">
        <v>362</v>
      </c>
      <c r="B65" s="540" t="s">
        <v>21</v>
      </c>
      <c r="C65" s="540" t="s">
        <v>77</v>
      </c>
      <c r="D65" s="181">
        <v>2020</v>
      </c>
      <c r="E65" s="181">
        <v>2021</v>
      </c>
      <c r="F65" s="181">
        <v>2022</v>
      </c>
      <c r="G65" s="181">
        <v>2023</v>
      </c>
      <c r="H65" s="181">
        <v>2024</v>
      </c>
      <c r="I65" s="181">
        <v>2025</v>
      </c>
      <c r="J65" s="181">
        <v>2026</v>
      </c>
      <c r="K65" s="181">
        <v>2027</v>
      </c>
      <c r="L65" s="181">
        <v>2028</v>
      </c>
      <c r="M65" s="181">
        <v>2029</v>
      </c>
      <c r="N65" s="181">
        <v>2030</v>
      </c>
      <c r="O65" s="265">
        <v>2031</v>
      </c>
      <c r="P65" s="265">
        <v>2032</v>
      </c>
    </row>
    <row r="66" spans="1:16" x14ac:dyDescent="0.25">
      <c r="A66" s="958" t="s">
        <v>368</v>
      </c>
      <c r="B66" s="955" t="s">
        <v>59</v>
      </c>
      <c r="C66" s="244" t="s">
        <v>81</v>
      </c>
      <c r="D66" s="631">
        <f t="shared" ref="D66:P66" si="0">D22*$C$8*(1+D$57)</f>
        <v>109493.42330406253</v>
      </c>
      <c r="E66" s="631">
        <f t="shared" si="0"/>
        <v>113415.85919624663</v>
      </c>
      <c r="F66" s="631">
        <f t="shared" si="0"/>
        <v>0</v>
      </c>
      <c r="G66" s="631">
        <f t="shared" si="0"/>
        <v>0</v>
      </c>
      <c r="H66" s="631">
        <f t="shared" si="0"/>
        <v>0</v>
      </c>
      <c r="I66" s="631">
        <f t="shared" si="0"/>
        <v>0</v>
      </c>
      <c r="J66" s="631">
        <f t="shared" si="0"/>
        <v>0</v>
      </c>
      <c r="K66" s="631">
        <f t="shared" si="0"/>
        <v>0</v>
      </c>
      <c r="L66" s="631">
        <f t="shared" si="0"/>
        <v>0</v>
      </c>
      <c r="M66" s="631">
        <f t="shared" si="0"/>
        <v>0</v>
      </c>
      <c r="N66" s="631">
        <f t="shared" si="0"/>
        <v>0</v>
      </c>
      <c r="O66" s="631">
        <f t="shared" si="0"/>
        <v>0</v>
      </c>
      <c r="P66" s="631">
        <f t="shared" si="0"/>
        <v>0</v>
      </c>
    </row>
    <row r="67" spans="1:16" x14ac:dyDescent="0.25">
      <c r="A67" s="959"/>
      <c r="B67" s="956"/>
      <c r="C67" s="244" t="s">
        <v>14</v>
      </c>
      <c r="D67" s="631">
        <f t="shared" ref="D67:P67" si="1">D23*$C$8*(1+D58)</f>
        <v>28990.362562006179</v>
      </c>
      <c r="E67" s="631">
        <f t="shared" si="1"/>
        <v>30057.410836825948</v>
      </c>
      <c r="F67" s="631">
        <f t="shared" si="1"/>
        <v>0</v>
      </c>
      <c r="G67" s="631">
        <f t="shared" si="1"/>
        <v>0</v>
      </c>
      <c r="H67" s="631">
        <f t="shared" si="1"/>
        <v>0</v>
      </c>
      <c r="I67" s="631">
        <f t="shared" si="1"/>
        <v>0</v>
      </c>
      <c r="J67" s="631">
        <f t="shared" si="1"/>
        <v>0</v>
      </c>
      <c r="K67" s="631">
        <f t="shared" si="1"/>
        <v>0</v>
      </c>
      <c r="L67" s="631">
        <f t="shared" si="1"/>
        <v>0</v>
      </c>
      <c r="M67" s="631">
        <f t="shared" si="1"/>
        <v>0</v>
      </c>
      <c r="N67" s="631">
        <f t="shared" si="1"/>
        <v>0</v>
      </c>
      <c r="O67" s="631">
        <f t="shared" si="1"/>
        <v>0</v>
      </c>
      <c r="P67" s="631">
        <f t="shared" si="1"/>
        <v>0</v>
      </c>
    </row>
    <row r="68" spans="1:16" x14ac:dyDescent="0.25">
      <c r="A68" s="959"/>
      <c r="B68" s="956"/>
      <c r="C68" s="244" t="s">
        <v>862</v>
      </c>
      <c r="D68" s="631">
        <f t="shared" ref="D68:P68" si="2">D24*$C$8*(1+D59)</f>
        <v>61317.889530646731</v>
      </c>
      <c r="E68" s="631">
        <f t="shared" si="2"/>
        <v>63306.506864979572</v>
      </c>
      <c r="F68" s="631">
        <f t="shared" si="2"/>
        <v>0</v>
      </c>
      <c r="G68" s="631">
        <f t="shared" si="2"/>
        <v>0</v>
      </c>
      <c r="H68" s="631">
        <f t="shared" si="2"/>
        <v>0</v>
      </c>
      <c r="I68" s="631">
        <f t="shared" si="2"/>
        <v>0</v>
      </c>
      <c r="J68" s="631">
        <f t="shared" si="2"/>
        <v>0</v>
      </c>
      <c r="K68" s="631">
        <f t="shared" si="2"/>
        <v>0</v>
      </c>
      <c r="L68" s="631">
        <f t="shared" si="2"/>
        <v>0</v>
      </c>
      <c r="M68" s="631">
        <f t="shared" si="2"/>
        <v>0</v>
      </c>
      <c r="N68" s="631">
        <f t="shared" si="2"/>
        <v>0</v>
      </c>
      <c r="O68" s="631">
        <f t="shared" si="2"/>
        <v>0</v>
      </c>
      <c r="P68" s="631">
        <f t="shared" si="2"/>
        <v>0</v>
      </c>
    </row>
    <row r="69" spans="1:16" ht="30" x14ac:dyDescent="0.25">
      <c r="A69" s="959"/>
      <c r="B69" s="956"/>
      <c r="C69" s="485" t="s">
        <v>520</v>
      </c>
      <c r="D69" s="631">
        <f t="shared" ref="D69:P69" si="3">D25*$C$8*(1+D$60)</f>
        <v>101492.79140270557</v>
      </c>
      <c r="E69" s="631">
        <f t="shared" si="3"/>
        <v>102662.84620233194</v>
      </c>
      <c r="F69" s="631">
        <f t="shared" si="3"/>
        <v>0</v>
      </c>
      <c r="G69" s="631">
        <f t="shared" si="3"/>
        <v>0</v>
      </c>
      <c r="H69" s="631">
        <f t="shared" si="3"/>
        <v>0</v>
      </c>
      <c r="I69" s="631">
        <f t="shared" si="3"/>
        <v>0</v>
      </c>
      <c r="J69" s="631">
        <f t="shared" si="3"/>
        <v>0</v>
      </c>
      <c r="K69" s="631">
        <f t="shared" si="3"/>
        <v>0</v>
      </c>
      <c r="L69" s="631">
        <f t="shared" si="3"/>
        <v>0</v>
      </c>
      <c r="M69" s="631">
        <f t="shared" si="3"/>
        <v>0</v>
      </c>
      <c r="N69" s="631">
        <f t="shared" si="3"/>
        <v>0</v>
      </c>
      <c r="O69" s="631">
        <f t="shared" si="3"/>
        <v>0</v>
      </c>
      <c r="P69" s="631">
        <f t="shared" si="3"/>
        <v>0</v>
      </c>
    </row>
    <row r="70" spans="1:16" x14ac:dyDescent="0.25">
      <c r="A70" s="958" t="s">
        <v>369</v>
      </c>
      <c r="B70" s="955" t="s">
        <v>31</v>
      </c>
      <c r="C70" s="244" t="s">
        <v>81</v>
      </c>
      <c r="D70" s="631">
        <f t="shared" ref="D70:P70" si="4">D26*$C$9*(1+D57)</f>
        <v>86442.176292680946</v>
      </c>
      <c r="E70" s="631">
        <f t="shared" si="4"/>
        <v>89538.83620756313</v>
      </c>
      <c r="F70" s="631">
        <f t="shared" si="4"/>
        <v>0</v>
      </c>
      <c r="G70" s="631">
        <f t="shared" si="4"/>
        <v>0</v>
      </c>
      <c r="H70" s="631">
        <f t="shared" si="4"/>
        <v>0</v>
      </c>
      <c r="I70" s="631">
        <f t="shared" si="4"/>
        <v>0</v>
      </c>
      <c r="J70" s="631">
        <f t="shared" si="4"/>
        <v>0</v>
      </c>
      <c r="K70" s="631">
        <f t="shared" si="4"/>
        <v>0</v>
      </c>
      <c r="L70" s="631">
        <f t="shared" si="4"/>
        <v>0</v>
      </c>
      <c r="M70" s="631">
        <f t="shared" si="4"/>
        <v>0</v>
      </c>
      <c r="N70" s="631">
        <f t="shared" si="4"/>
        <v>0</v>
      </c>
      <c r="O70" s="631">
        <f t="shared" si="4"/>
        <v>0</v>
      </c>
      <c r="P70" s="631">
        <f t="shared" si="4"/>
        <v>0</v>
      </c>
    </row>
    <row r="71" spans="1:16" x14ac:dyDescent="0.25">
      <c r="A71" s="959"/>
      <c r="B71" s="956" t="s">
        <v>31</v>
      </c>
      <c r="C71" s="244" t="s">
        <v>14</v>
      </c>
      <c r="D71" s="631">
        <f t="shared" ref="D71:P71" si="5">D27*$C$9*(1+D58)</f>
        <v>15944.699409103398</v>
      </c>
      <c r="E71" s="631">
        <f t="shared" si="5"/>
        <v>16531.575960254271</v>
      </c>
      <c r="F71" s="631">
        <f t="shared" si="5"/>
        <v>0</v>
      </c>
      <c r="G71" s="631">
        <f t="shared" si="5"/>
        <v>0</v>
      </c>
      <c r="H71" s="631">
        <f t="shared" si="5"/>
        <v>0</v>
      </c>
      <c r="I71" s="631">
        <f t="shared" si="5"/>
        <v>0</v>
      </c>
      <c r="J71" s="631">
        <f t="shared" si="5"/>
        <v>0</v>
      </c>
      <c r="K71" s="631">
        <f t="shared" si="5"/>
        <v>0</v>
      </c>
      <c r="L71" s="631">
        <f t="shared" si="5"/>
        <v>0</v>
      </c>
      <c r="M71" s="631">
        <f t="shared" si="5"/>
        <v>0</v>
      </c>
      <c r="N71" s="631">
        <f t="shared" si="5"/>
        <v>0</v>
      </c>
      <c r="O71" s="631">
        <f t="shared" si="5"/>
        <v>0</v>
      </c>
      <c r="P71" s="631">
        <f t="shared" si="5"/>
        <v>0</v>
      </c>
    </row>
    <row r="72" spans="1:16" x14ac:dyDescent="0.25">
      <c r="A72" s="959"/>
      <c r="B72" s="956"/>
      <c r="C72" s="244" t="s">
        <v>862</v>
      </c>
      <c r="D72" s="631">
        <f t="shared" ref="D72:P72" si="6">D28*$C$9*(1+D59)</f>
        <v>29265.356366899574</v>
      </c>
      <c r="E72" s="631">
        <f t="shared" si="6"/>
        <v>30214.469185558431</v>
      </c>
      <c r="F72" s="631">
        <f t="shared" si="6"/>
        <v>0</v>
      </c>
      <c r="G72" s="631">
        <f t="shared" si="6"/>
        <v>31995.489896976902</v>
      </c>
      <c r="H72" s="631">
        <f t="shared" si="6"/>
        <v>32930.085212198843</v>
      </c>
      <c r="I72" s="631">
        <f t="shared" si="6"/>
        <v>0</v>
      </c>
      <c r="J72" s="631">
        <f t="shared" si="6"/>
        <v>0</v>
      </c>
      <c r="K72" s="631">
        <f t="shared" si="6"/>
        <v>0</v>
      </c>
      <c r="L72" s="631">
        <f t="shared" si="6"/>
        <v>0</v>
      </c>
      <c r="M72" s="631">
        <f t="shared" si="6"/>
        <v>0</v>
      </c>
      <c r="N72" s="631">
        <f t="shared" si="6"/>
        <v>0</v>
      </c>
      <c r="O72" s="631">
        <f t="shared" si="6"/>
        <v>0</v>
      </c>
      <c r="P72" s="631">
        <f t="shared" si="6"/>
        <v>0</v>
      </c>
    </row>
    <row r="73" spans="1:16" ht="30" x14ac:dyDescent="0.25">
      <c r="A73" s="959"/>
      <c r="B73" s="956"/>
      <c r="C73" s="485" t="s">
        <v>520</v>
      </c>
      <c r="D73" s="631">
        <f t="shared" ref="D73:P73" si="7">D29*$C$9*(1+D$60)</f>
        <v>16492.578602939655</v>
      </c>
      <c r="E73" s="631">
        <f t="shared" si="7"/>
        <v>16682.712507878943</v>
      </c>
      <c r="F73" s="631">
        <f t="shared" si="7"/>
        <v>0</v>
      </c>
      <c r="G73" s="631">
        <f t="shared" si="7"/>
        <v>0</v>
      </c>
      <c r="H73" s="631">
        <f t="shared" si="7"/>
        <v>0</v>
      </c>
      <c r="I73" s="631">
        <f t="shared" si="7"/>
        <v>17214.88198444726</v>
      </c>
      <c r="J73" s="631">
        <f t="shared" si="7"/>
        <v>17403.550861712058</v>
      </c>
      <c r="K73" s="631">
        <f t="shared" si="7"/>
        <v>0</v>
      </c>
      <c r="L73" s="631">
        <f t="shared" si="7"/>
        <v>0</v>
      </c>
      <c r="M73" s="631">
        <f t="shared" si="7"/>
        <v>0</v>
      </c>
      <c r="N73" s="631">
        <f t="shared" si="7"/>
        <v>0</v>
      </c>
      <c r="O73" s="631">
        <f t="shared" si="7"/>
        <v>0</v>
      </c>
      <c r="P73" s="631">
        <f t="shared" si="7"/>
        <v>0</v>
      </c>
    </row>
    <row r="74" spans="1:16" x14ac:dyDescent="0.25">
      <c r="A74" s="960"/>
      <c r="B74" s="957"/>
      <c r="C74" s="244" t="s">
        <v>521</v>
      </c>
      <c r="D74" s="631">
        <f t="shared" ref="D74:P74" si="8">D30*$C$9*(1+D$60)</f>
        <v>21567.218173074933</v>
      </c>
      <c r="E74" s="631">
        <f t="shared" si="8"/>
        <v>21815.85481799554</v>
      </c>
      <c r="F74" s="631">
        <f t="shared" si="8"/>
        <v>0</v>
      </c>
      <c r="G74" s="631">
        <f t="shared" si="8"/>
        <v>0</v>
      </c>
      <c r="H74" s="631">
        <f t="shared" si="8"/>
        <v>0</v>
      </c>
      <c r="I74" s="631">
        <f t="shared" si="8"/>
        <v>0</v>
      </c>
      <c r="J74" s="631">
        <f t="shared" si="8"/>
        <v>0</v>
      </c>
      <c r="K74" s="631">
        <f t="shared" si="8"/>
        <v>22999.287739757481</v>
      </c>
      <c r="L74" s="631">
        <f t="shared" si="8"/>
        <v>23243.631445003935</v>
      </c>
      <c r="M74" s="631">
        <f t="shared" si="8"/>
        <v>0</v>
      </c>
      <c r="N74" s="631">
        <f t="shared" si="8"/>
        <v>0</v>
      </c>
      <c r="O74" s="631">
        <f t="shared" si="8"/>
        <v>0</v>
      </c>
      <c r="P74" s="631">
        <f t="shared" si="8"/>
        <v>0</v>
      </c>
    </row>
    <row r="75" spans="1:16" x14ac:dyDescent="0.25">
      <c r="A75" s="958" t="s">
        <v>370</v>
      </c>
      <c r="B75" s="955" t="s">
        <v>31</v>
      </c>
      <c r="C75" s="244" t="s">
        <v>81</v>
      </c>
      <c r="D75" s="631">
        <f t="shared" ref="D75:P75" si="9">D31*$C$10*(1+D57)</f>
        <v>0</v>
      </c>
      <c r="E75" s="631">
        <f t="shared" si="9"/>
        <v>446739.10011826828</v>
      </c>
      <c r="F75" s="631">
        <f t="shared" si="9"/>
        <v>463208.58864377218</v>
      </c>
      <c r="G75" s="631">
        <f t="shared" si="9"/>
        <v>480717.61350273335</v>
      </c>
      <c r="H75" s="631">
        <f t="shared" si="9"/>
        <v>499291.93278133695</v>
      </c>
      <c r="I75" s="631">
        <f t="shared" si="9"/>
        <v>527642.53808093444</v>
      </c>
      <c r="J75" s="631">
        <f t="shared" si="9"/>
        <v>540527.31524741987</v>
      </c>
      <c r="K75" s="631">
        <f t="shared" si="9"/>
        <v>554628.08528152679</v>
      </c>
      <c r="L75" s="631">
        <f t="shared" si="9"/>
        <v>569915.91409579583</v>
      </c>
      <c r="M75" s="631">
        <f t="shared" si="9"/>
        <v>586374.56542632252</v>
      </c>
      <c r="N75" s="631">
        <f t="shared" si="9"/>
        <v>603998.20427880995</v>
      </c>
      <c r="O75" s="631">
        <f t="shared" si="9"/>
        <v>632862.3065588047</v>
      </c>
      <c r="P75" s="631">
        <f t="shared" si="9"/>
        <v>663111.03771601035</v>
      </c>
    </row>
    <row r="76" spans="1:16" x14ac:dyDescent="0.25">
      <c r="A76" s="959"/>
      <c r="B76" s="956"/>
      <c r="C76" s="244" t="s">
        <v>14</v>
      </c>
      <c r="D76" s="631">
        <f t="shared" ref="D76:P76" si="10">D32*$C$10*(1+D58)</f>
        <v>0</v>
      </c>
      <c r="E76" s="631">
        <f t="shared" si="10"/>
        <v>63361.022044029101</v>
      </c>
      <c r="F76" s="631">
        <f t="shared" si="10"/>
        <v>65693.151182403788</v>
      </c>
      <c r="G76" s="631">
        <f t="shared" si="10"/>
        <v>68111.1189979747</v>
      </c>
      <c r="H76" s="631">
        <f t="shared" si="10"/>
        <v>70618.084954932914</v>
      </c>
      <c r="I76" s="631">
        <f t="shared" si="10"/>
        <v>73217.324807869256</v>
      </c>
      <c r="J76" s="631">
        <f t="shared" si="10"/>
        <v>75912.23488207272</v>
      </c>
      <c r="K76" s="631">
        <f t="shared" si="10"/>
        <v>78706.336511376896</v>
      </c>
      <c r="L76" s="631">
        <f t="shared" si="10"/>
        <v>81603.28063935152</v>
      </c>
      <c r="M76" s="631">
        <f t="shared" si="10"/>
        <v>84606.85258984394</v>
      </c>
      <c r="N76" s="631">
        <f t="shared" si="10"/>
        <v>87720.977013118289</v>
      </c>
      <c r="O76" s="631">
        <f t="shared" si="10"/>
        <v>90949.723014040093</v>
      </c>
      <c r="P76" s="631">
        <f t="shared" si="10"/>
        <v>94297.309469018102</v>
      </c>
    </row>
    <row r="77" spans="1:16" x14ac:dyDescent="0.25">
      <c r="A77" s="959"/>
      <c r="B77" s="956"/>
      <c r="C77" s="244" t="s">
        <v>822</v>
      </c>
      <c r="D77" s="631">
        <f t="shared" ref="D77:P77" si="11">D33*$C$10*(1+D59)</f>
        <v>0</v>
      </c>
      <c r="E77" s="631">
        <f t="shared" si="11"/>
        <v>117059.48633033496</v>
      </c>
      <c r="F77" s="631">
        <f t="shared" si="11"/>
        <v>120454.00838901031</v>
      </c>
      <c r="G77" s="631">
        <f t="shared" si="11"/>
        <v>123959.66942943051</v>
      </c>
      <c r="H77" s="631">
        <f t="shared" si="11"/>
        <v>127580.55870783322</v>
      </c>
      <c r="I77" s="631">
        <f t="shared" si="11"/>
        <v>131320.93026020509</v>
      </c>
      <c r="J77" s="631">
        <f t="shared" si="11"/>
        <v>135174.03267534761</v>
      </c>
      <c r="K77" s="631">
        <f t="shared" si="11"/>
        <v>138247.27205016869</v>
      </c>
      <c r="L77" s="631">
        <f t="shared" si="11"/>
        <v>141390.71549415877</v>
      </c>
      <c r="M77" s="631">
        <f t="shared" si="11"/>
        <v>144605.97410499738</v>
      </c>
      <c r="N77" s="631">
        <f t="shared" si="11"/>
        <v>147894.69611714722</v>
      </c>
      <c r="O77" s="631">
        <f t="shared" si="11"/>
        <v>151390.76023935431</v>
      </c>
      <c r="P77" s="631">
        <f t="shared" si="11"/>
        <v>154868.55011623941</v>
      </c>
    </row>
    <row r="78" spans="1:16" ht="30" x14ac:dyDescent="0.25">
      <c r="A78" s="959"/>
      <c r="B78" s="956"/>
      <c r="C78" s="485" t="s">
        <v>520</v>
      </c>
      <c r="D78" s="631">
        <f>D34*$C$10*(1+D$60)</f>
        <v>0</v>
      </c>
      <c r="E78" s="631">
        <f t="shared" ref="E78:P78" si="12">E34*$C$10*(1+E60)</f>
        <v>62624.336183422485</v>
      </c>
      <c r="F78" s="631">
        <f t="shared" si="12"/>
        <v>63113.196628807767</v>
      </c>
      <c r="G78" s="631">
        <f t="shared" si="12"/>
        <v>63608.94747960478</v>
      </c>
      <c r="H78" s="631">
        <f t="shared" si="12"/>
        <v>64111.810759339583</v>
      </c>
      <c r="I78" s="631">
        <f t="shared" si="12"/>
        <v>64622.018526232794</v>
      </c>
      <c r="J78" s="631">
        <f t="shared" si="12"/>
        <v>65330.252465503727</v>
      </c>
      <c r="K78" s="631">
        <f t="shared" si="12"/>
        <v>66021.484805892062</v>
      </c>
      <c r="L78" s="631">
        <f t="shared" si="12"/>
        <v>66722.894971540707</v>
      </c>
      <c r="M78" s="631">
        <f t="shared" si="12"/>
        <v>67434.698477787839</v>
      </c>
      <c r="N78" s="631">
        <f t="shared" si="12"/>
        <v>68157.117008571004</v>
      </c>
      <c r="O78" s="631">
        <f t="shared" si="12"/>
        <v>68952.794019569323</v>
      </c>
      <c r="P78" s="631">
        <f t="shared" si="12"/>
        <v>69737.480526729516</v>
      </c>
    </row>
    <row r="79" spans="1:16" x14ac:dyDescent="0.25">
      <c r="A79" s="959"/>
      <c r="B79" s="956"/>
      <c r="C79" s="244" t="s">
        <v>521</v>
      </c>
      <c r="D79" s="631">
        <f>D35*$C$10*(1+D$60)</f>
        <v>0</v>
      </c>
      <c r="E79" s="631">
        <f t="shared" ref="E79:P79" si="13">E35*$C$10*(1+E$60)</f>
        <v>103176.16043334361</v>
      </c>
      <c r="F79" s="631">
        <f t="shared" si="13"/>
        <v>103981.57805238001</v>
      </c>
      <c r="G79" s="631">
        <f t="shared" si="13"/>
        <v>104798.3478967259</v>
      </c>
      <c r="H79" s="631">
        <f t="shared" si="13"/>
        <v>105626.83575923981</v>
      </c>
      <c r="I79" s="631">
        <f t="shared" si="13"/>
        <v>106467.42396535075</v>
      </c>
      <c r="J79" s="631">
        <f t="shared" si="13"/>
        <v>107634.26840628074</v>
      </c>
      <c r="K79" s="631">
        <f t="shared" si="13"/>
        <v>108773.10201626479</v>
      </c>
      <c r="L79" s="631">
        <f t="shared" si="13"/>
        <v>109928.70401048921</v>
      </c>
      <c r="M79" s="631">
        <f t="shared" si="13"/>
        <v>111101.42945930619</v>
      </c>
      <c r="N79" s="631">
        <f t="shared" si="13"/>
        <v>112291.6435960883</v>
      </c>
      <c r="O79" s="631">
        <f t="shared" si="13"/>
        <v>113602.55408142159</v>
      </c>
      <c r="P79" s="631">
        <f t="shared" si="13"/>
        <v>114895.35726125109</v>
      </c>
    </row>
    <row r="80" spans="1:16" ht="30" x14ac:dyDescent="0.25">
      <c r="A80" s="960"/>
      <c r="B80" s="957"/>
      <c r="C80" s="647" t="s">
        <v>796</v>
      </c>
      <c r="D80" s="685"/>
      <c r="E80" s="631">
        <f t="shared" ref="E80:P80" si="14">E55*$C10</f>
        <v>104300</v>
      </c>
      <c r="F80" s="631">
        <f t="shared" si="14"/>
        <v>104300</v>
      </c>
      <c r="G80" s="631">
        <f t="shared" si="14"/>
        <v>104300</v>
      </c>
      <c r="H80" s="631">
        <f t="shared" si="14"/>
        <v>104300</v>
      </c>
      <c r="I80" s="631">
        <f t="shared" si="14"/>
        <v>104300</v>
      </c>
      <c r="J80" s="631">
        <f t="shared" si="14"/>
        <v>104300</v>
      </c>
      <c r="K80" s="631">
        <f t="shared" si="14"/>
        <v>104300</v>
      </c>
      <c r="L80" s="631">
        <f t="shared" si="14"/>
        <v>104300</v>
      </c>
      <c r="M80" s="631">
        <f t="shared" si="14"/>
        <v>104300</v>
      </c>
      <c r="N80" s="631">
        <f t="shared" si="14"/>
        <v>104300</v>
      </c>
      <c r="O80" s="631">
        <f t="shared" si="14"/>
        <v>104300</v>
      </c>
      <c r="P80" s="631">
        <f t="shared" si="14"/>
        <v>104300</v>
      </c>
    </row>
    <row r="81" spans="1:17" x14ac:dyDescent="0.25">
      <c r="A81" s="958" t="s">
        <v>371</v>
      </c>
      <c r="B81" s="955" t="s">
        <v>30</v>
      </c>
      <c r="C81" s="244" t="s">
        <v>81</v>
      </c>
      <c r="D81" s="631">
        <f t="shared" ref="D81:P81" si="15">D36*$C$11*(1+D57)</f>
        <v>0</v>
      </c>
      <c r="E81" s="631">
        <f t="shared" si="15"/>
        <v>446739.10011826828</v>
      </c>
      <c r="F81" s="631">
        <f t="shared" si="15"/>
        <v>463208.58864377218</v>
      </c>
      <c r="G81" s="631">
        <f t="shared" si="15"/>
        <v>480717.61350273335</v>
      </c>
      <c r="H81" s="631">
        <f t="shared" si="15"/>
        <v>499291.93278133695</v>
      </c>
      <c r="I81" s="631">
        <f t="shared" si="15"/>
        <v>527642.53808093444</v>
      </c>
      <c r="J81" s="631">
        <f t="shared" si="15"/>
        <v>540527.31524741987</v>
      </c>
      <c r="K81" s="631">
        <f t="shared" si="15"/>
        <v>554628.08528152679</v>
      </c>
      <c r="L81" s="631">
        <f t="shared" si="15"/>
        <v>569915.91409579583</v>
      </c>
      <c r="M81" s="631">
        <f t="shared" si="15"/>
        <v>586374.56542632252</v>
      </c>
      <c r="N81" s="631">
        <f t="shared" si="15"/>
        <v>603998.20427880995</v>
      </c>
      <c r="O81" s="631">
        <f t="shared" si="15"/>
        <v>632862.3065588047</v>
      </c>
      <c r="P81" s="631">
        <f t="shared" si="15"/>
        <v>663111.03771601035</v>
      </c>
    </row>
    <row r="82" spans="1:17" x14ac:dyDescent="0.25">
      <c r="A82" s="959"/>
      <c r="B82" s="956"/>
      <c r="C82" s="244" t="s">
        <v>14</v>
      </c>
      <c r="D82" s="631">
        <f t="shared" ref="D82:P82" si="16">D37*$C$11*(1+D58)</f>
        <v>0</v>
      </c>
      <c r="E82" s="631">
        <f t="shared" si="16"/>
        <v>63361.022044029101</v>
      </c>
      <c r="F82" s="631">
        <f t="shared" si="16"/>
        <v>65693.151182403788</v>
      </c>
      <c r="G82" s="631">
        <f t="shared" si="16"/>
        <v>68111.1189979747</v>
      </c>
      <c r="H82" s="631">
        <f t="shared" si="16"/>
        <v>70618.084954932914</v>
      </c>
      <c r="I82" s="631">
        <f t="shared" si="16"/>
        <v>73217.324807869256</v>
      </c>
      <c r="J82" s="631">
        <f t="shared" si="16"/>
        <v>75912.23488207272</v>
      </c>
      <c r="K82" s="631">
        <f t="shared" si="16"/>
        <v>78706.336511376896</v>
      </c>
      <c r="L82" s="631">
        <f t="shared" si="16"/>
        <v>81603.28063935152</v>
      </c>
      <c r="M82" s="631">
        <f t="shared" si="16"/>
        <v>84606.85258984394</v>
      </c>
      <c r="N82" s="631">
        <f t="shared" si="16"/>
        <v>87720.977013118289</v>
      </c>
      <c r="O82" s="631">
        <f t="shared" si="16"/>
        <v>90949.723014040093</v>
      </c>
      <c r="P82" s="631">
        <f t="shared" si="16"/>
        <v>94297.309469018102</v>
      </c>
    </row>
    <row r="83" spans="1:17" x14ac:dyDescent="0.25">
      <c r="A83" s="959"/>
      <c r="B83" s="956" t="s">
        <v>30</v>
      </c>
      <c r="C83" s="244" t="s">
        <v>822</v>
      </c>
      <c r="D83" s="631">
        <f t="shared" ref="D83:P83" si="17">D38*$C$11*(1+D59)</f>
        <v>0</v>
      </c>
      <c r="E83" s="631">
        <f t="shared" si="17"/>
        <v>117059.48633033496</v>
      </c>
      <c r="F83" s="631">
        <f t="shared" si="17"/>
        <v>120454.00838901031</v>
      </c>
      <c r="G83" s="631">
        <f t="shared" si="17"/>
        <v>123959.66942943051</v>
      </c>
      <c r="H83" s="631">
        <f t="shared" si="17"/>
        <v>127580.55870783322</v>
      </c>
      <c r="I83" s="631">
        <f t="shared" si="17"/>
        <v>131320.93026020509</v>
      </c>
      <c r="J83" s="631">
        <f t="shared" si="17"/>
        <v>135174.03267534761</v>
      </c>
      <c r="K83" s="631">
        <f t="shared" si="17"/>
        <v>138247.27205016869</v>
      </c>
      <c r="L83" s="631">
        <f t="shared" si="17"/>
        <v>141390.71549415877</v>
      </c>
      <c r="M83" s="631">
        <f t="shared" si="17"/>
        <v>144605.97410499738</v>
      </c>
      <c r="N83" s="631">
        <f t="shared" si="17"/>
        <v>147894.69611714722</v>
      </c>
      <c r="O83" s="631">
        <f t="shared" si="17"/>
        <v>151390.76023935431</v>
      </c>
      <c r="P83" s="631">
        <f t="shared" si="17"/>
        <v>154868.55011623941</v>
      </c>
    </row>
    <row r="84" spans="1:17" ht="30" x14ac:dyDescent="0.25">
      <c r="A84" s="959"/>
      <c r="B84" s="956"/>
      <c r="C84" s="485" t="s">
        <v>520</v>
      </c>
      <c r="D84" s="631">
        <f>D39*$C$11*(1+D$60)</f>
        <v>0</v>
      </c>
      <c r="E84" s="631">
        <f t="shared" ref="E84:P84" si="18">E39*$C$11*(1+E60)</f>
        <v>62624.336183422485</v>
      </c>
      <c r="F84" s="631">
        <f t="shared" si="18"/>
        <v>63113.196628807767</v>
      </c>
      <c r="G84" s="631">
        <f t="shared" si="18"/>
        <v>63608.94747960478</v>
      </c>
      <c r="H84" s="631">
        <f t="shared" si="18"/>
        <v>64111.810759339583</v>
      </c>
      <c r="I84" s="631">
        <f t="shared" si="18"/>
        <v>64622.018526232794</v>
      </c>
      <c r="J84" s="631">
        <f t="shared" si="18"/>
        <v>65330.252465503727</v>
      </c>
      <c r="K84" s="631">
        <f t="shared" si="18"/>
        <v>66021.484805892062</v>
      </c>
      <c r="L84" s="631">
        <f t="shared" si="18"/>
        <v>66722.894971540707</v>
      </c>
      <c r="M84" s="631">
        <f t="shared" si="18"/>
        <v>67434.698477787839</v>
      </c>
      <c r="N84" s="631">
        <f t="shared" si="18"/>
        <v>68157.117008571004</v>
      </c>
      <c r="O84" s="631">
        <f t="shared" si="18"/>
        <v>68952.794019569323</v>
      </c>
      <c r="P84" s="631">
        <f t="shared" si="18"/>
        <v>69737.480526729516</v>
      </c>
    </row>
    <row r="85" spans="1:17" x14ac:dyDescent="0.25">
      <c r="A85" s="959"/>
      <c r="B85" s="956"/>
      <c r="C85" s="244" t="s">
        <v>521</v>
      </c>
      <c r="D85" s="631">
        <f>D40*$C$11*(1+D$60)</f>
        <v>0</v>
      </c>
      <c r="E85" s="631">
        <f t="shared" ref="E85:P85" si="19">E40*$C$11*(1+E$60)</f>
        <v>103176.16043334361</v>
      </c>
      <c r="F85" s="631">
        <f t="shared" si="19"/>
        <v>103981.57805238001</v>
      </c>
      <c r="G85" s="631">
        <f t="shared" si="19"/>
        <v>104798.3478967259</v>
      </c>
      <c r="H85" s="631">
        <f t="shared" si="19"/>
        <v>105626.83575923981</v>
      </c>
      <c r="I85" s="631">
        <f t="shared" si="19"/>
        <v>106467.42396535075</v>
      </c>
      <c r="J85" s="631">
        <f t="shared" si="19"/>
        <v>107634.26840628074</v>
      </c>
      <c r="K85" s="631">
        <f t="shared" si="19"/>
        <v>108773.10201626479</v>
      </c>
      <c r="L85" s="631">
        <f t="shared" si="19"/>
        <v>109928.70401048921</v>
      </c>
      <c r="M85" s="631">
        <f t="shared" si="19"/>
        <v>111101.42945930619</v>
      </c>
      <c r="N85" s="631">
        <f t="shared" si="19"/>
        <v>112291.6435960883</v>
      </c>
      <c r="O85" s="631">
        <f t="shared" si="19"/>
        <v>113602.55408142159</v>
      </c>
      <c r="P85" s="631">
        <f t="shared" si="19"/>
        <v>114895.35726125109</v>
      </c>
    </row>
    <row r="86" spans="1:17" ht="30" x14ac:dyDescent="0.25">
      <c r="A86" s="960"/>
      <c r="B86" s="957"/>
      <c r="C86" s="647" t="s">
        <v>796</v>
      </c>
      <c r="D86" s="685"/>
      <c r="E86" s="631">
        <f t="shared" ref="E86:P86" si="20">E56*$C11</f>
        <v>104300</v>
      </c>
      <c r="F86" s="631">
        <f t="shared" si="20"/>
        <v>104300</v>
      </c>
      <c r="G86" s="631">
        <f t="shared" si="20"/>
        <v>104300</v>
      </c>
      <c r="H86" s="631">
        <f t="shared" si="20"/>
        <v>104300</v>
      </c>
      <c r="I86" s="631">
        <f t="shared" si="20"/>
        <v>104300</v>
      </c>
      <c r="J86" s="631">
        <f t="shared" si="20"/>
        <v>104300</v>
      </c>
      <c r="K86" s="631">
        <f t="shared" si="20"/>
        <v>104300</v>
      </c>
      <c r="L86" s="631">
        <f t="shared" si="20"/>
        <v>104300</v>
      </c>
      <c r="M86" s="631">
        <f t="shared" si="20"/>
        <v>104300</v>
      </c>
      <c r="N86" s="631">
        <f t="shared" si="20"/>
        <v>104300</v>
      </c>
      <c r="O86" s="631">
        <f t="shared" si="20"/>
        <v>104300</v>
      </c>
      <c r="P86" s="631">
        <f t="shared" si="20"/>
        <v>104300</v>
      </c>
    </row>
    <row r="87" spans="1:17" x14ac:dyDescent="0.25">
      <c r="A87" s="468" t="s">
        <v>372</v>
      </c>
      <c r="B87" s="647" t="s">
        <v>54</v>
      </c>
      <c r="C87" s="685"/>
      <c r="D87" s="641">
        <f t="shared" ref="D87:P87" si="21">(D$41*$C$12+D$42*$C$13+D$43*$C$14+D$44*$C$15+D$45*$N$16+D$46*$N$17)</f>
        <v>277000</v>
      </c>
      <c r="E87" s="641">
        <f t="shared" si="21"/>
        <v>990000</v>
      </c>
      <c r="F87" s="641">
        <f t="shared" si="21"/>
        <v>899000</v>
      </c>
      <c r="G87" s="641">
        <f t="shared" si="21"/>
        <v>899000</v>
      </c>
      <c r="H87" s="641">
        <f t="shared" si="21"/>
        <v>899000</v>
      </c>
      <c r="I87" s="641">
        <f t="shared" si="21"/>
        <v>899000</v>
      </c>
      <c r="J87" s="641">
        <f t="shared" si="21"/>
        <v>899000</v>
      </c>
      <c r="K87" s="641">
        <f t="shared" si="21"/>
        <v>1079000</v>
      </c>
      <c r="L87" s="641">
        <f t="shared" si="21"/>
        <v>1078000</v>
      </c>
      <c r="M87" s="641">
        <f t="shared" si="21"/>
        <v>1078000</v>
      </c>
      <c r="N87" s="641">
        <f t="shared" si="21"/>
        <v>1078000</v>
      </c>
      <c r="O87" s="641">
        <f t="shared" si="21"/>
        <v>1078000</v>
      </c>
      <c r="P87" s="641">
        <f t="shared" si="21"/>
        <v>1078000</v>
      </c>
      <c r="Q87" s="538"/>
    </row>
    <row r="88" spans="1:17" x14ac:dyDescent="0.25">
      <c r="A88" s="58" t="s">
        <v>880</v>
      </c>
      <c r="B88" s="647" t="s">
        <v>864</v>
      </c>
      <c r="C88" s="685"/>
      <c r="D88" s="631">
        <f t="shared" ref="D88:P88" si="22">(D$47*$C$16+D$48*$C$17+D$49*$C$18+D$50*$C$19)</f>
        <v>0</v>
      </c>
      <c r="E88" s="631">
        <f t="shared" si="22"/>
        <v>567000</v>
      </c>
      <c r="F88" s="631">
        <f t="shared" si="22"/>
        <v>564000</v>
      </c>
      <c r="G88" s="631">
        <f t="shared" si="22"/>
        <v>564000</v>
      </c>
      <c r="H88" s="631">
        <f t="shared" si="22"/>
        <v>564000</v>
      </c>
      <c r="I88" s="631">
        <f t="shared" si="22"/>
        <v>564000</v>
      </c>
      <c r="J88" s="631">
        <f t="shared" si="22"/>
        <v>564000</v>
      </c>
      <c r="K88" s="631">
        <f t="shared" si="22"/>
        <v>564000</v>
      </c>
      <c r="L88" s="631">
        <f t="shared" si="22"/>
        <v>564000</v>
      </c>
      <c r="M88" s="631">
        <f t="shared" si="22"/>
        <v>564000</v>
      </c>
      <c r="N88" s="631">
        <f t="shared" si="22"/>
        <v>564000</v>
      </c>
      <c r="O88" s="631">
        <f t="shared" si="22"/>
        <v>564000</v>
      </c>
      <c r="P88" s="631">
        <f t="shared" si="22"/>
        <v>564000</v>
      </c>
      <c r="Q88" s="538"/>
    </row>
    <row r="89" spans="1:17" x14ac:dyDescent="0.25">
      <c r="A89" s="58" t="s">
        <v>726</v>
      </c>
      <c r="B89" s="485" t="s">
        <v>865</v>
      </c>
      <c r="C89" s="685"/>
      <c r="D89" s="685"/>
      <c r="E89" s="631">
        <f>E51*$C$18</f>
        <v>189000</v>
      </c>
      <c r="F89" s="631">
        <f t="shared" ref="F89:P89" si="23">F52*$C$19</f>
        <v>188000</v>
      </c>
      <c r="G89" s="631">
        <f t="shared" si="23"/>
        <v>188000</v>
      </c>
      <c r="H89" s="631">
        <f t="shared" si="23"/>
        <v>188000</v>
      </c>
      <c r="I89" s="631">
        <f t="shared" si="23"/>
        <v>188000</v>
      </c>
      <c r="J89" s="631">
        <f t="shared" si="23"/>
        <v>188000</v>
      </c>
      <c r="K89" s="631">
        <f t="shared" si="23"/>
        <v>188000</v>
      </c>
      <c r="L89" s="631">
        <f t="shared" si="23"/>
        <v>188000</v>
      </c>
      <c r="M89" s="631">
        <f t="shared" si="23"/>
        <v>188000</v>
      </c>
      <c r="N89" s="631">
        <f t="shared" si="23"/>
        <v>188000</v>
      </c>
      <c r="O89" s="631">
        <f t="shared" si="23"/>
        <v>188000</v>
      </c>
      <c r="P89" s="631">
        <f t="shared" si="23"/>
        <v>188000</v>
      </c>
    </row>
    <row r="90" spans="1:17" ht="30" x14ac:dyDescent="0.25">
      <c r="A90" s="58" t="s">
        <v>727</v>
      </c>
      <c r="B90" s="485" t="s">
        <v>866</v>
      </c>
      <c r="C90" s="685"/>
      <c r="D90" s="685"/>
      <c r="E90" s="631">
        <f>E53*$C$18</f>
        <v>189000</v>
      </c>
      <c r="F90" s="631">
        <f t="shared" ref="F90:P90" si="24">F54*$C$19</f>
        <v>188000</v>
      </c>
      <c r="G90" s="631">
        <f t="shared" si="24"/>
        <v>188000</v>
      </c>
      <c r="H90" s="631">
        <f t="shared" si="24"/>
        <v>188000</v>
      </c>
      <c r="I90" s="631">
        <f t="shared" si="24"/>
        <v>188000</v>
      </c>
      <c r="J90" s="631">
        <f t="shared" si="24"/>
        <v>188000</v>
      </c>
      <c r="K90" s="631">
        <f t="shared" si="24"/>
        <v>188000</v>
      </c>
      <c r="L90" s="631">
        <f t="shared" si="24"/>
        <v>188000</v>
      </c>
      <c r="M90" s="631">
        <f t="shared" si="24"/>
        <v>188000</v>
      </c>
      <c r="N90" s="631">
        <f t="shared" si="24"/>
        <v>188000</v>
      </c>
      <c r="O90" s="631">
        <f t="shared" si="24"/>
        <v>188000</v>
      </c>
      <c r="P90" s="631">
        <f t="shared" si="24"/>
        <v>188000</v>
      </c>
    </row>
    <row r="91" spans="1:17" x14ac:dyDescent="0.25">
      <c r="A91" s="342" t="s">
        <v>863</v>
      </c>
      <c r="B91" s="643"/>
      <c r="C91" s="643"/>
    </row>
    <row r="92" spans="1:17" x14ac:dyDescent="0.25">
      <c r="A92" s="643"/>
      <c r="B92" s="643"/>
      <c r="C92" s="643"/>
    </row>
    <row r="93" spans="1:17" x14ac:dyDescent="0.25">
      <c r="A93" s="346" t="s">
        <v>156</v>
      </c>
    </row>
    <row r="94" spans="1:17" x14ac:dyDescent="0.25">
      <c r="A94" s="133" t="s">
        <v>470</v>
      </c>
    </row>
    <row r="95" spans="1:17" x14ac:dyDescent="0.25">
      <c r="A95" s="133" t="s">
        <v>471</v>
      </c>
    </row>
    <row r="96" spans="1:17" x14ac:dyDescent="0.25">
      <c r="A96" s="133" t="s">
        <v>472</v>
      </c>
    </row>
    <row r="97" spans="1:17" x14ac:dyDescent="0.25">
      <c r="A97" s="133" t="s">
        <v>473</v>
      </c>
    </row>
    <row r="98" spans="1:17" x14ac:dyDescent="0.25">
      <c r="A98" s="133" t="s">
        <v>667</v>
      </c>
    </row>
    <row r="99" spans="1:17" x14ac:dyDescent="0.25">
      <c r="A99" s="133"/>
    </row>
    <row r="101" spans="1:17" ht="15.75" x14ac:dyDescent="0.25">
      <c r="A101" s="652" t="s">
        <v>227</v>
      </c>
    </row>
    <row r="102" spans="1:17" x14ac:dyDescent="0.25">
      <c r="A102" s="918" t="s">
        <v>373</v>
      </c>
      <c r="B102" s="918"/>
      <c r="C102" s="918"/>
      <c r="D102" s="181">
        <v>2020</v>
      </c>
      <c r="E102" s="181">
        <v>2021</v>
      </c>
      <c r="F102" s="181">
        <v>2022</v>
      </c>
      <c r="G102" s="181">
        <v>2023</v>
      </c>
      <c r="H102" s="181">
        <v>2024</v>
      </c>
      <c r="I102" s="181">
        <v>2025</v>
      </c>
      <c r="J102" s="181">
        <v>2026</v>
      </c>
      <c r="K102" s="181">
        <v>2027</v>
      </c>
      <c r="L102" s="181">
        <v>2028</v>
      </c>
      <c r="M102" s="181">
        <v>2029</v>
      </c>
      <c r="N102" s="181">
        <v>2030</v>
      </c>
      <c r="O102" s="181">
        <v>2031</v>
      </c>
      <c r="P102" s="181">
        <v>2032</v>
      </c>
    </row>
    <row r="103" spans="1:17" x14ac:dyDescent="0.25">
      <c r="A103" s="1009" t="s">
        <v>81</v>
      </c>
      <c r="B103" s="1010"/>
      <c r="C103" s="1011"/>
      <c r="D103" s="631">
        <f t="shared" ref="D103:P103" si="25">SUM(D66,D70,D75,D81)+D$87*$K9+SUM(D$88,D$89,D$90)*$M9</f>
        <v>332165.10779346479</v>
      </c>
      <c r="E103" s="631">
        <f t="shared" si="25"/>
        <v>1714568.1415419856</v>
      </c>
      <c r="F103" s="631">
        <f t="shared" si="25"/>
        <v>1499103.8803840834</v>
      </c>
      <c r="G103" s="631">
        <f t="shared" si="25"/>
        <v>1534121.9301020058</v>
      </c>
      <c r="H103" s="631">
        <f t="shared" si="25"/>
        <v>1571270.5686592129</v>
      </c>
      <c r="I103" s="631">
        <f t="shared" si="25"/>
        <v>1627971.7792584079</v>
      </c>
      <c r="J103" s="631">
        <f t="shared" si="25"/>
        <v>1653741.3335913788</v>
      </c>
      <c r="K103" s="631">
        <f t="shared" si="25"/>
        <v>1770467.4638235271</v>
      </c>
      <c r="L103" s="631">
        <f t="shared" si="25"/>
        <v>1800551.3181733766</v>
      </c>
      <c r="M103" s="631">
        <f t="shared" si="25"/>
        <v>1833468.62083443</v>
      </c>
      <c r="N103" s="631">
        <f t="shared" si="25"/>
        <v>1868715.8985394049</v>
      </c>
      <c r="O103" s="631">
        <f t="shared" si="25"/>
        <v>1926444.1030993944</v>
      </c>
      <c r="P103" s="631">
        <f t="shared" si="25"/>
        <v>1986941.5654138057</v>
      </c>
    </row>
    <row r="104" spans="1:17" x14ac:dyDescent="0.25">
      <c r="A104" s="1009" t="s">
        <v>14</v>
      </c>
      <c r="B104" s="1010"/>
      <c r="C104" s="1011"/>
      <c r="D104" s="631">
        <f t="shared" ref="D104:P104" si="26">SUM(D67,D71,D76,D82)+D$87*$K10+SUM(D$88,D$89,D$90)*$M10</f>
        <v>69910.471807175156</v>
      </c>
      <c r="E104" s="631">
        <f t="shared" si="26"/>
        <v>288823.32596710563</v>
      </c>
      <c r="F104" s="631">
        <f t="shared" si="26"/>
        <v>238554.79052509903</v>
      </c>
      <c r="G104" s="631">
        <f t="shared" si="26"/>
        <v>243390.72615624085</v>
      </c>
      <c r="H104" s="631">
        <f t="shared" si="26"/>
        <v>248404.65807015728</v>
      </c>
      <c r="I104" s="631">
        <f t="shared" si="26"/>
        <v>253603.13777602994</v>
      </c>
      <c r="J104" s="631">
        <f t="shared" si="26"/>
        <v>258992.95792443689</v>
      </c>
      <c r="K104" s="631">
        <f t="shared" si="26"/>
        <v>280810.66937976656</v>
      </c>
      <c r="L104" s="631">
        <f t="shared" si="26"/>
        <v>286514.39370128955</v>
      </c>
      <c r="M104" s="631">
        <f t="shared" si="26"/>
        <v>292521.53760227445</v>
      </c>
      <c r="N104" s="631">
        <f t="shared" si="26"/>
        <v>298749.78644882311</v>
      </c>
      <c r="O104" s="631">
        <f t="shared" si="26"/>
        <v>305207.27845066669</v>
      </c>
      <c r="P104" s="631">
        <f t="shared" si="26"/>
        <v>311902.45136062277</v>
      </c>
    </row>
    <row r="105" spans="1:17" x14ac:dyDescent="0.25">
      <c r="A105" s="1009" t="s">
        <v>822</v>
      </c>
      <c r="B105" s="1010"/>
      <c r="C105" s="1011"/>
      <c r="D105" s="631">
        <f t="shared" ref="D105:P105" si="27">SUM(D68,D72,D77,D83)+D$87*$K11+SUM(D$88,D$89,D$90)*$M11</f>
        <v>138263.57376639877</v>
      </c>
      <c r="E105" s="631">
        <f t="shared" si="27"/>
        <v>498049.78477678169</v>
      </c>
      <c r="F105" s="631">
        <f t="shared" si="27"/>
        <v>395653.91841736488</v>
      </c>
      <c r="G105" s="631">
        <f t="shared" si="27"/>
        <v>434660.73039518215</v>
      </c>
      <c r="H105" s="631">
        <f t="shared" si="27"/>
        <v>442837.10426720954</v>
      </c>
      <c r="I105" s="631">
        <f t="shared" si="27"/>
        <v>417387.76215975441</v>
      </c>
      <c r="J105" s="631">
        <f t="shared" si="27"/>
        <v>425093.96699003945</v>
      </c>
      <c r="K105" s="631">
        <f t="shared" si="27"/>
        <v>462224.05229705869</v>
      </c>
      <c r="L105" s="631">
        <f t="shared" si="27"/>
        <v>468338.80803749786</v>
      </c>
      <c r="M105" s="631">
        <f t="shared" si="27"/>
        <v>474769.32525917509</v>
      </c>
      <c r="N105" s="631">
        <f t="shared" si="27"/>
        <v>481346.76928347477</v>
      </c>
      <c r="O105" s="631">
        <f t="shared" si="27"/>
        <v>488338.89752788894</v>
      </c>
      <c r="P105" s="631">
        <f t="shared" si="27"/>
        <v>495294.47728165914</v>
      </c>
    </row>
    <row r="106" spans="1:17" x14ac:dyDescent="0.25">
      <c r="A106" s="906" t="s">
        <v>520</v>
      </c>
      <c r="B106" s="907"/>
      <c r="C106" s="908"/>
      <c r="D106" s="391">
        <f t="shared" ref="D106:P106" si="28">SUM(D69,D73,D78,D84)+D$87*$K$12+SUM(D$88,D$89,D$90)*$M$12</f>
        <v>147501.76344826818</v>
      </c>
      <c r="E106" s="391">
        <f t="shared" si="28"/>
        <v>691336.03435574437</v>
      </c>
      <c r="F106" s="391">
        <f t="shared" si="28"/>
        <v>561465.91966927308</v>
      </c>
      <c r="G106" s="391">
        <f t="shared" si="28"/>
        <v>562457.42137086717</v>
      </c>
      <c r="H106" s="391">
        <f t="shared" si="28"/>
        <v>563463.14793033665</v>
      </c>
      <c r="I106" s="391">
        <f t="shared" si="28"/>
        <v>581698.44544857042</v>
      </c>
      <c r="J106" s="391">
        <f t="shared" si="28"/>
        <v>583303.58220437705</v>
      </c>
      <c r="K106" s="391">
        <f t="shared" si="28"/>
        <v>586462.8238922942</v>
      </c>
      <c r="L106" s="391">
        <f t="shared" si="28"/>
        <v>587759.08684654231</v>
      </c>
      <c r="M106" s="391">
        <f t="shared" si="28"/>
        <v>589182.69385903655</v>
      </c>
      <c r="N106" s="391">
        <f t="shared" si="28"/>
        <v>590627.53092060285</v>
      </c>
      <c r="O106" s="391">
        <f t="shared" si="28"/>
        <v>592218.88494259946</v>
      </c>
      <c r="P106" s="391">
        <f t="shared" si="28"/>
        <v>593788.25795691984</v>
      </c>
    </row>
    <row r="107" spans="1:17" x14ac:dyDescent="0.25">
      <c r="A107" s="1016" t="s">
        <v>566</v>
      </c>
      <c r="B107" s="1017"/>
      <c r="C107" s="1018"/>
      <c r="D107" s="709">
        <f t="shared" ref="D107:P107" si="29">SUM(D74,D79,D85)+D$87*$K$13+SUM(D$88,D$89,D$90)*$M$13</f>
        <v>60165.578828812635</v>
      </c>
      <c r="E107" s="709">
        <f t="shared" si="29"/>
        <v>812368.99535681389</v>
      </c>
      <c r="F107" s="709">
        <f t="shared" si="29"/>
        <v>777122.53679692757</v>
      </c>
      <c r="G107" s="709">
        <f t="shared" si="29"/>
        <v>778756.07648561941</v>
      </c>
      <c r="H107" s="709">
        <f t="shared" si="29"/>
        <v>780413.05221064715</v>
      </c>
      <c r="I107" s="709">
        <f t="shared" si="29"/>
        <v>782094.22862286912</v>
      </c>
      <c r="J107" s="709">
        <f t="shared" si="29"/>
        <v>784427.917504729</v>
      </c>
      <c r="K107" s="709">
        <f t="shared" si="29"/>
        <v>834786.83967756934</v>
      </c>
      <c r="L107" s="709">
        <f t="shared" si="29"/>
        <v>837203.04310896958</v>
      </c>
      <c r="M107" s="709">
        <f t="shared" si="29"/>
        <v>816304.86256159958</v>
      </c>
      <c r="N107" s="709">
        <f t="shared" si="29"/>
        <v>818685.29083516379</v>
      </c>
      <c r="O107" s="709">
        <f t="shared" si="29"/>
        <v>821307.11180583038</v>
      </c>
      <c r="P107" s="709">
        <f t="shared" si="29"/>
        <v>823892.71816548938</v>
      </c>
    </row>
    <row r="108" spans="1:17" ht="15.75" thickBot="1" x14ac:dyDescent="0.3">
      <c r="A108" s="909" t="s">
        <v>797</v>
      </c>
      <c r="B108" s="910"/>
      <c r="C108" s="911"/>
      <c r="D108" s="639">
        <f>SUM(D80,D86)</f>
        <v>0</v>
      </c>
      <c r="E108" s="639">
        <f>SUM(E80,E86)</f>
        <v>208600</v>
      </c>
      <c r="F108" s="639">
        <f t="shared" ref="F108:P108" si="30">SUM(F80,F86)</f>
        <v>208600</v>
      </c>
      <c r="G108" s="639">
        <f t="shared" si="30"/>
        <v>208600</v>
      </c>
      <c r="H108" s="639">
        <f t="shared" si="30"/>
        <v>208600</v>
      </c>
      <c r="I108" s="639">
        <f t="shared" si="30"/>
        <v>208600</v>
      </c>
      <c r="J108" s="639">
        <f t="shared" si="30"/>
        <v>208600</v>
      </c>
      <c r="K108" s="639">
        <f t="shared" si="30"/>
        <v>208600</v>
      </c>
      <c r="L108" s="639">
        <f t="shared" si="30"/>
        <v>208600</v>
      </c>
      <c r="M108" s="639">
        <f t="shared" si="30"/>
        <v>208600</v>
      </c>
      <c r="N108" s="639">
        <f t="shared" si="30"/>
        <v>208600</v>
      </c>
      <c r="O108" s="639">
        <f t="shared" si="30"/>
        <v>208600</v>
      </c>
      <c r="P108" s="639">
        <f t="shared" si="30"/>
        <v>208600</v>
      </c>
      <c r="Q108" s="698"/>
    </row>
    <row r="109" spans="1:17" ht="15.75" thickTop="1" x14ac:dyDescent="0.25">
      <c r="A109" s="1013" t="s">
        <v>868</v>
      </c>
      <c r="B109" s="1014"/>
      <c r="C109" s="1015"/>
      <c r="D109" s="641">
        <f t="shared" ref="D109:P109" si="31">SUM(D103:D107)+D108</f>
        <v>748006.49564411957</v>
      </c>
      <c r="E109" s="641">
        <f t="shared" si="31"/>
        <v>4213746.2819984313</v>
      </c>
      <c r="F109" s="641">
        <f t="shared" si="31"/>
        <v>3680501.0457927482</v>
      </c>
      <c r="G109" s="641">
        <f t="shared" si="31"/>
        <v>3761986.8845099155</v>
      </c>
      <c r="H109" s="641">
        <f t="shared" si="31"/>
        <v>3814988.5311375633</v>
      </c>
      <c r="I109" s="641">
        <f t="shared" si="31"/>
        <v>3871355.3532656319</v>
      </c>
      <c r="J109" s="641">
        <f t="shared" si="31"/>
        <v>3914159.7582149608</v>
      </c>
      <c r="K109" s="641">
        <f t="shared" si="31"/>
        <v>4143351.8490702156</v>
      </c>
      <c r="L109" s="641">
        <f t="shared" si="31"/>
        <v>4188966.6498676757</v>
      </c>
      <c r="M109" s="641">
        <f t="shared" si="31"/>
        <v>4214847.0401165159</v>
      </c>
      <c r="N109" s="641">
        <f t="shared" si="31"/>
        <v>4266725.2760274699</v>
      </c>
      <c r="O109" s="641">
        <f t="shared" si="31"/>
        <v>4342116.2758263797</v>
      </c>
      <c r="P109" s="641">
        <f t="shared" si="31"/>
        <v>4420419.470178497</v>
      </c>
    </row>
    <row r="110" spans="1:17" x14ac:dyDescent="0.25">
      <c r="A110" s="342" t="s">
        <v>867</v>
      </c>
      <c r="B110" s="342"/>
    </row>
    <row r="112" spans="1:17" x14ac:dyDescent="0.25">
      <c r="A112" s="918" t="s">
        <v>891</v>
      </c>
      <c r="B112" s="918"/>
      <c r="C112" s="918"/>
      <c r="D112" s="181">
        <v>2020</v>
      </c>
      <c r="E112" s="181">
        <v>2021</v>
      </c>
      <c r="F112" s="181">
        <v>2022</v>
      </c>
      <c r="G112" s="181">
        <v>2023</v>
      </c>
      <c r="H112" s="181">
        <v>2024</v>
      </c>
      <c r="I112" s="181">
        <v>2025</v>
      </c>
      <c r="J112" s="181">
        <v>2026</v>
      </c>
      <c r="K112" s="181">
        <v>2027</v>
      </c>
      <c r="L112" s="181">
        <v>2028</v>
      </c>
      <c r="M112" s="181">
        <v>2029</v>
      </c>
      <c r="N112" s="181">
        <v>2030</v>
      </c>
      <c r="O112" s="181">
        <v>2031</v>
      </c>
      <c r="P112" s="181">
        <v>2032</v>
      </c>
    </row>
    <row r="113" spans="1:16" x14ac:dyDescent="0.25">
      <c r="A113" s="1009" t="s">
        <v>55</v>
      </c>
      <c r="B113" s="1010"/>
      <c r="C113" s="1011"/>
      <c r="D113" s="631">
        <f t="shared" ref="D113:P113" si="32">SUM(D66:D69)</f>
        <v>301294.466799421</v>
      </c>
      <c r="E113" s="631">
        <f t="shared" si="32"/>
        <v>309442.62310038408</v>
      </c>
      <c r="F113" s="631">
        <f t="shared" si="32"/>
        <v>0</v>
      </c>
      <c r="G113" s="631">
        <f t="shared" si="32"/>
        <v>0</v>
      </c>
      <c r="H113" s="631">
        <f t="shared" si="32"/>
        <v>0</v>
      </c>
      <c r="I113" s="631">
        <f t="shared" si="32"/>
        <v>0</v>
      </c>
      <c r="J113" s="631">
        <f t="shared" si="32"/>
        <v>0</v>
      </c>
      <c r="K113" s="631">
        <f t="shared" si="32"/>
        <v>0</v>
      </c>
      <c r="L113" s="631">
        <f t="shared" si="32"/>
        <v>0</v>
      </c>
      <c r="M113" s="631">
        <f t="shared" si="32"/>
        <v>0</v>
      </c>
      <c r="N113" s="631">
        <f t="shared" si="32"/>
        <v>0</v>
      </c>
      <c r="O113" s="631">
        <f t="shared" si="32"/>
        <v>0</v>
      </c>
      <c r="P113" s="631">
        <f t="shared" si="32"/>
        <v>0</v>
      </c>
    </row>
    <row r="114" spans="1:16" x14ac:dyDescent="0.25">
      <c r="A114" s="1009" t="s">
        <v>56</v>
      </c>
      <c r="B114" s="1010"/>
      <c r="C114" s="1011"/>
      <c r="D114" s="710">
        <f t="shared" ref="D114:P114" si="33">SUM(D70:D74)</f>
        <v>169712.02884469851</v>
      </c>
      <c r="E114" s="710">
        <f t="shared" si="33"/>
        <v>174783.44867925032</v>
      </c>
      <c r="F114" s="710">
        <f t="shared" si="33"/>
        <v>0</v>
      </c>
      <c r="G114" s="710">
        <f t="shared" si="33"/>
        <v>31995.489896976902</v>
      </c>
      <c r="H114" s="710">
        <f t="shared" si="33"/>
        <v>32930.085212198843</v>
      </c>
      <c r="I114" s="710">
        <f t="shared" si="33"/>
        <v>17214.88198444726</v>
      </c>
      <c r="J114" s="710">
        <f t="shared" si="33"/>
        <v>17403.550861712058</v>
      </c>
      <c r="K114" s="710">
        <f t="shared" si="33"/>
        <v>22999.287739757481</v>
      </c>
      <c r="L114" s="710">
        <f t="shared" si="33"/>
        <v>23243.631445003935</v>
      </c>
      <c r="M114" s="710">
        <f t="shared" si="33"/>
        <v>0</v>
      </c>
      <c r="N114" s="710">
        <f t="shared" si="33"/>
        <v>0</v>
      </c>
      <c r="O114" s="710">
        <f t="shared" si="33"/>
        <v>0</v>
      </c>
      <c r="P114" s="710">
        <f t="shared" si="33"/>
        <v>0</v>
      </c>
    </row>
    <row r="115" spans="1:16" x14ac:dyDescent="0.25">
      <c r="A115" s="1009" t="s">
        <v>58</v>
      </c>
      <c r="B115" s="1010"/>
      <c r="C115" s="1011"/>
      <c r="D115" s="710">
        <f t="shared" ref="D115:P115" si="34">SUM(D75:D79)+D80</f>
        <v>0</v>
      </c>
      <c r="E115" s="710">
        <f t="shared" si="34"/>
        <v>897260.10510939837</v>
      </c>
      <c r="F115" s="710">
        <f t="shared" si="34"/>
        <v>920750.52289637411</v>
      </c>
      <c r="G115" s="710">
        <f t="shared" si="34"/>
        <v>945495.6973064692</v>
      </c>
      <c r="H115" s="710">
        <f t="shared" si="34"/>
        <v>971529.22296268248</v>
      </c>
      <c r="I115" s="710">
        <f t="shared" si="34"/>
        <v>1007570.2356405923</v>
      </c>
      <c r="J115" s="710">
        <f t="shared" si="34"/>
        <v>1028878.1036766247</v>
      </c>
      <c r="K115" s="710">
        <f t="shared" si="34"/>
        <v>1050676.2806652293</v>
      </c>
      <c r="L115" s="710">
        <f t="shared" si="34"/>
        <v>1073861.5092113358</v>
      </c>
      <c r="M115" s="710">
        <f t="shared" si="34"/>
        <v>1098423.5200582577</v>
      </c>
      <c r="N115" s="710">
        <f t="shared" si="34"/>
        <v>1124362.6380137349</v>
      </c>
      <c r="O115" s="710">
        <f t="shared" si="34"/>
        <v>1162058.1379131901</v>
      </c>
      <c r="P115" s="710">
        <f t="shared" si="34"/>
        <v>1201209.7350892485</v>
      </c>
    </row>
    <row r="116" spans="1:16" x14ac:dyDescent="0.25">
      <c r="A116" s="1009" t="s">
        <v>57</v>
      </c>
      <c r="B116" s="1010"/>
      <c r="C116" s="1011"/>
      <c r="D116" s="710">
        <f t="shared" ref="D116:P116" si="35">SUM(D81:D85)+D86</f>
        <v>0</v>
      </c>
      <c r="E116" s="710">
        <f t="shared" si="35"/>
        <v>897260.10510939837</v>
      </c>
      <c r="F116" s="710">
        <f t="shared" si="35"/>
        <v>920750.52289637411</v>
      </c>
      <c r="G116" s="710">
        <f t="shared" si="35"/>
        <v>945495.6973064692</v>
      </c>
      <c r="H116" s="710">
        <f t="shared" si="35"/>
        <v>971529.22296268248</v>
      </c>
      <c r="I116" s="710">
        <f t="shared" si="35"/>
        <v>1007570.2356405923</v>
      </c>
      <c r="J116" s="710">
        <f t="shared" si="35"/>
        <v>1028878.1036766247</v>
      </c>
      <c r="K116" s="710">
        <f t="shared" si="35"/>
        <v>1050676.2806652293</v>
      </c>
      <c r="L116" s="710">
        <f t="shared" si="35"/>
        <v>1073861.5092113358</v>
      </c>
      <c r="M116" s="710">
        <f t="shared" si="35"/>
        <v>1098423.5200582577</v>
      </c>
      <c r="N116" s="710">
        <f t="shared" si="35"/>
        <v>1124362.6380137349</v>
      </c>
      <c r="O116" s="710">
        <f t="shared" si="35"/>
        <v>1162058.1379131901</v>
      </c>
      <c r="P116" s="710">
        <f t="shared" si="35"/>
        <v>1201209.7350892485</v>
      </c>
    </row>
    <row r="117" spans="1:16" ht="15.75" thickBot="1" x14ac:dyDescent="0.3">
      <c r="A117" s="909" t="s">
        <v>722</v>
      </c>
      <c r="B117" s="910"/>
      <c r="C117" s="911"/>
      <c r="D117" s="639">
        <f t="shared" ref="D117:P117" si="36">D87+D88+D89+D90</f>
        <v>277000</v>
      </c>
      <c r="E117" s="639">
        <f t="shared" si="36"/>
        <v>1935000</v>
      </c>
      <c r="F117" s="639">
        <f t="shared" si="36"/>
        <v>1839000</v>
      </c>
      <c r="G117" s="639">
        <f t="shared" si="36"/>
        <v>1839000</v>
      </c>
      <c r="H117" s="639">
        <f t="shared" si="36"/>
        <v>1839000</v>
      </c>
      <c r="I117" s="639">
        <f t="shared" si="36"/>
        <v>1839000</v>
      </c>
      <c r="J117" s="639">
        <f t="shared" si="36"/>
        <v>1839000</v>
      </c>
      <c r="K117" s="639">
        <f t="shared" si="36"/>
        <v>2019000</v>
      </c>
      <c r="L117" s="639">
        <f t="shared" si="36"/>
        <v>2018000</v>
      </c>
      <c r="M117" s="639">
        <f t="shared" si="36"/>
        <v>2018000</v>
      </c>
      <c r="N117" s="639">
        <f t="shared" si="36"/>
        <v>2018000</v>
      </c>
      <c r="O117" s="639">
        <f t="shared" si="36"/>
        <v>2018000</v>
      </c>
      <c r="P117" s="639">
        <f t="shared" si="36"/>
        <v>2018000</v>
      </c>
    </row>
    <row r="118" spans="1:16" ht="15.75" thickTop="1" x14ac:dyDescent="0.25">
      <c r="A118" s="1013" t="s">
        <v>75</v>
      </c>
      <c r="B118" s="1014"/>
      <c r="C118" s="1015"/>
      <c r="D118" s="641">
        <f>SUM(D113:D117)</f>
        <v>748006.49564411957</v>
      </c>
      <c r="E118" s="641">
        <f t="shared" ref="E118:P118" si="37">SUM(E113:E117)</f>
        <v>4213746.2819984313</v>
      </c>
      <c r="F118" s="641">
        <f t="shared" si="37"/>
        <v>3680501.0457927482</v>
      </c>
      <c r="G118" s="641">
        <f t="shared" si="37"/>
        <v>3761986.8845099155</v>
      </c>
      <c r="H118" s="641">
        <f t="shared" si="37"/>
        <v>3814988.5311375638</v>
      </c>
      <c r="I118" s="641">
        <f t="shared" si="37"/>
        <v>3871355.3532656319</v>
      </c>
      <c r="J118" s="641">
        <f t="shared" si="37"/>
        <v>3914159.7582149617</v>
      </c>
      <c r="K118" s="641">
        <f t="shared" si="37"/>
        <v>4143351.8490702161</v>
      </c>
      <c r="L118" s="641">
        <f t="shared" si="37"/>
        <v>4188966.6498676753</v>
      </c>
      <c r="M118" s="641">
        <f t="shared" si="37"/>
        <v>4214847.040116515</v>
      </c>
      <c r="N118" s="641">
        <f t="shared" si="37"/>
        <v>4266725.2760274699</v>
      </c>
      <c r="O118" s="641">
        <f t="shared" si="37"/>
        <v>4342116.2758263797</v>
      </c>
      <c r="P118" s="641">
        <f t="shared" si="37"/>
        <v>4420419.470178497</v>
      </c>
    </row>
    <row r="119" spans="1:16" x14ac:dyDescent="0.25">
      <c r="P119" s="711"/>
    </row>
    <row r="120" spans="1:16" x14ac:dyDescent="0.25">
      <c r="A120" s="918" t="s">
        <v>299</v>
      </c>
      <c r="B120" s="918"/>
      <c r="C120" s="918"/>
      <c r="D120" s="181">
        <v>2020</v>
      </c>
      <c r="E120" s="181">
        <v>2021</v>
      </c>
      <c r="F120" s="181">
        <v>2022</v>
      </c>
      <c r="G120" s="181">
        <v>2023</v>
      </c>
      <c r="H120" s="181">
        <v>2024</v>
      </c>
      <c r="I120" s="181">
        <v>2025</v>
      </c>
      <c r="J120" s="181">
        <v>2026</v>
      </c>
      <c r="K120" s="181">
        <v>2027</v>
      </c>
      <c r="L120" s="181">
        <v>2028</v>
      </c>
      <c r="M120" s="181">
        <v>2029</v>
      </c>
      <c r="N120" s="181">
        <v>2030</v>
      </c>
      <c r="O120" s="181">
        <v>2031</v>
      </c>
      <c r="P120" s="181">
        <v>2032</v>
      </c>
    </row>
    <row r="121" spans="1:16" x14ac:dyDescent="0.25">
      <c r="A121" s="1009" t="s">
        <v>55</v>
      </c>
      <c r="B121" s="1010"/>
      <c r="C121" s="1011"/>
      <c r="D121" s="631">
        <f t="shared" ref="D121:P121" si="38">SUM(D$66:D$69)-D68</f>
        <v>239976.57726877427</v>
      </c>
      <c r="E121" s="631">
        <f t="shared" si="38"/>
        <v>246136.11623540451</v>
      </c>
      <c r="F121" s="631">
        <f t="shared" si="38"/>
        <v>0</v>
      </c>
      <c r="G121" s="631">
        <f t="shared" si="38"/>
        <v>0</v>
      </c>
      <c r="H121" s="631">
        <f t="shared" si="38"/>
        <v>0</v>
      </c>
      <c r="I121" s="631">
        <f t="shared" si="38"/>
        <v>0</v>
      </c>
      <c r="J121" s="631">
        <f t="shared" si="38"/>
        <v>0</v>
      </c>
      <c r="K121" s="631">
        <f t="shared" si="38"/>
        <v>0</v>
      </c>
      <c r="L121" s="631">
        <f t="shared" si="38"/>
        <v>0</v>
      </c>
      <c r="M121" s="631">
        <f t="shared" si="38"/>
        <v>0</v>
      </c>
      <c r="N121" s="631">
        <f t="shared" si="38"/>
        <v>0</v>
      </c>
      <c r="O121" s="631">
        <f t="shared" si="38"/>
        <v>0</v>
      </c>
      <c r="P121" s="631">
        <f t="shared" si="38"/>
        <v>0</v>
      </c>
    </row>
    <row r="122" spans="1:16" x14ac:dyDescent="0.25">
      <c r="A122" s="1009" t="s">
        <v>56</v>
      </c>
      <c r="B122" s="1010"/>
      <c r="C122" s="1011"/>
      <c r="D122" s="710">
        <f t="shared" ref="D122:P122" si="39">SUM(D$70:D$74)-D72</f>
        <v>140446.67247779894</v>
      </c>
      <c r="E122" s="710">
        <f t="shared" si="39"/>
        <v>144568.97949369188</v>
      </c>
      <c r="F122" s="710">
        <f t="shared" si="39"/>
        <v>0</v>
      </c>
      <c r="G122" s="710">
        <f t="shared" si="39"/>
        <v>0</v>
      </c>
      <c r="H122" s="710">
        <f t="shared" si="39"/>
        <v>0</v>
      </c>
      <c r="I122" s="710">
        <f t="shared" si="39"/>
        <v>17214.88198444726</v>
      </c>
      <c r="J122" s="710">
        <f t="shared" si="39"/>
        <v>17403.550861712058</v>
      </c>
      <c r="K122" s="710">
        <f t="shared" si="39"/>
        <v>22999.287739757481</v>
      </c>
      <c r="L122" s="710">
        <f t="shared" si="39"/>
        <v>23243.631445003935</v>
      </c>
      <c r="M122" s="710">
        <f t="shared" si="39"/>
        <v>0</v>
      </c>
      <c r="N122" s="710">
        <f t="shared" si="39"/>
        <v>0</v>
      </c>
      <c r="O122" s="710">
        <f t="shared" si="39"/>
        <v>0</v>
      </c>
      <c r="P122" s="710">
        <f t="shared" si="39"/>
        <v>0</v>
      </c>
    </row>
    <row r="123" spans="1:16" x14ac:dyDescent="0.25">
      <c r="A123" s="1009" t="s">
        <v>58</v>
      </c>
      <c r="B123" s="1010"/>
      <c r="C123" s="1011"/>
      <c r="D123" s="710">
        <f t="shared" ref="D123:P123" si="40">SUM(D$75:D$79)+D80</f>
        <v>0</v>
      </c>
      <c r="E123" s="710">
        <f t="shared" si="40"/>
        <v>897260.10510939837</v>
      </c>
      <c r="F123" s="710">
        <f t="shared" si="40"/>
        <v>920750.52289637411</v>
      </c>
      <c r="G123" s="710">
        <f t="shared" si="40"/>
        <v>945495.6973064692</v>
      </c>
      <c r="H123" s="710">
        <f t="shared" si="40"/>
        <v>971529.22296268248</v>
      </c>
      <c r="I123" s="710">
        <f t="shared" si="40"/>
        <v>1007570.2356405923</v>
      </c>
      <c r="J123" s="710">
        <f t="shared" si="40"/>
        <v>1028878.1036766247</v>
      </c>
      <c r="K123" s="710">
        <f t="shared" si="40"/>
        <v>1050676.2806652293</v>
      </c>
      <c r="L123" s="710">
        <f t="shared" si="40"/>
        <v>1073861.5092113358</v>
      </c>
      <c r="M123" s="710">
        <f t="shared" si="40"/>
        <v>1098423.5200582577</v>
      </c>
      <c r="N123" s="710">
        <f t="shared" si="40"/>
        <v>1124362.6380137349</v>
      </c>
      <c r="O123" s="710">
        <f t="shared" si="40"/>
        <v>1162058.1379131901</v>
      </c>
      <c r="P123" s="710">
        <f t="shared" si="40"/>
        <v>1201209.7350892485</v>
      </c>
    </row>
    <row r="124" spans="1:16" x14ac:dyDescent="0.25">
      <c r="A124" s="1009" t="s">
        <v>57</v>
      </c>
      <c r="B124" s="1010"/>
      <c r="C124" s="1011"/>
      <c r="D124" s="710">
        <f t="shared" ref="D124:P124" si="41">SUM(D$81:D$85)+D86</f>
        <v>0</v>
      </c>
      <c r="E124" s="710">
        <f t="shared" si="41"/>
        <v>897260.10510939837</v>
      </c>
      <c r="F124" s="710">
        <f t="shared" si="41"/>
        <v>920750.52289637411</v>
      </c>
      <c r="G124" s="710">
        <f t="shared" si="41"/>
        <v>945495.6973064692</v>
      </c>
      <c r="H124" s="710">
        <f t="shared" si="41"/>
        <v>971529.22296268248</v>
      </c>
      <c r="I124" s="710">
        <f t="shared" si="41"/>
        <v>1007570.2356405923</v>
      </c>
      <c r="J124" s="710">
        <f t="shared" si="41"/>
        <v>1028878.1036766247</v>
      </c>
      <c r="K124" s="710">
        <f t="shared" si="41"/>
        <v>1050676.2806652293</v>
      </c>
      <c r="L124" s="710">
        <f t="shared" si="41"/>
        <v>1073861.5092113358</v>
      </c>
      <c r="M124" s="710">
        <f t="shared" si="41"/>
        <v>1098423.5200582577</v>
      </c>
      <c r="N124" s="710">
        <f t="shared" si="41"/>
        <v>1124362.6380137349</v>
      </c>
      <c r="O124" s="710">
        <f t="shared" si="41"/>
        <v>1162058.1379131901</v>
      </c>
      <c r="P124" s="710">
        <f t="shared" si="41"/>
        <v>1201209.7350892485</v>
      </c>
    </row>
    <row r="125" spans="1:16" ht="15.75" thickBot="1" x14ac:dyDescent="0.3">
      <c r="A125" s="909" t="s">
        <v>722</v>
      </c>
      <c r="B125" s="910"/>
      <c r="C125" s="911"/>
      <c r="D125" s="639">
        <f t="shared" ref="D125:P125" si="42">D117-D87*$K11-SUM(D88,D89,D90)*$M11</f>
        <v>229319.67213114753</v>
      </c>
      <c r="E125" s="639">
        <f t="shared" si="42"/>
        <v>1764590.1639344261</v>
      </c>
      <c r="F125" s="639">
        <f t="shared" si="42"/>
        <v>1684254.0983606558</v>
      </c>
      <c r="G125" s="639">
        <f t="shared" si="42"/>
        <v>1684254.0983606558</v>
      </c>
      <c r="H125" s="639">
        <f t="shared" si="42"/>
        <v>1684254.0983606558</v>
      </c>
      <c r="I125" s="639">
        <f t="shared" si="42"/>
        <v>1684254.0983606558</v>
      </c>
      <c r="J125" s="639">
        <f t="shared" si="42"/>
        <v>1684254.0983606558</v>
      </c>
      <c r="K125" s="639">
        <f t="shared" si="42"/>
        <v>1833270.4918032787</v>
      </c>
      <c r="L125" s="639">
        <f t="shared" si="42"/>
        <v>1832442.6229508198</v>
      </c>
      <c r="M125" s="639">
        <f t="shared" si="42"/>
        <v>1832442.6229508198</v>
      </c>
      <c r="N125" s="639">
        <f t="shared" si="42"/>
        <v>1832442.6229508198</v>
      </c>
      <c r="O125" s="639">
        <f t="shared" si="42"/>
        <v>1832442.6229508198</v>
      </c>
      <c r="P125" s="639">
        <f t="shared" si="42"/>
        <v>1832442.6229508198</v>
      </c>
    </row>
    <row r="126" spans="1:16" ht="15.75" thickTop="1" x14ac:dyDescent="0.25">
      <c r="A126" s="1013" t="s">
        <v>75</v>
      </c>
      <c r="B126" s="1014"/>
      <c r="C126" s="1015"/>
      <c r="D126" s="641">
        <f>SUM(D121:D125)</f>
        <v>609742.92187772074</v>
      </c>
      <c r="E126" s="641">
        <f t="shared" ref="E126:P126" si="43">SUM(E121:E125)</f>
        <v>3949815.4698823197</v>
      </c>
      <c r="F126" s="641">
        <f t="shared" si="43"/>
        <v>3525755.144153404</v>
      </c>
      <c r="G126" s="641">
        <f t="shared" si="43"/>
        <v>3575245.492973594</v>
      </c>
      <c r="H126" s="641">
        <f t="shared" si="43"/>
        <v>3627312.544286021</v>
      </c>
      <c r="I126" s="641">
        <f t="shared" si="43"/>
        <v>3716609.4516262878</v>
      </c>
      <c r="J126" s="641">
        <f t="shared" si="43"/>
        <v>3759413.8565756176</v>
      </c>
      <c r="K126" s="641">
        <f t="shared" si="43"/>
        <v>3957622.3408734947</v>
      </c>
      <c r="L126" s="641">
        <f t="shared" si="43"/>
        <v>4003409.2728184951</v>
      </c>
      <c r="M126" s="641">
        <f t="shared" si="43"/>
        <v>4029289.6630673353</v>
      </c>
      <c r="N126" s="641">
        <f t="shared" si="43"/>
        <v>4081167.8989782897</v>
      </c>
      <c r="O126" s="641">
        <f t="shared" si="43"/>
        <v>4156558.8987771999</v>
      </c>
      <c r="P126" s="641">
        <f t="shared" si="43"/>
        <v>4234862.0931293163</v>
      </c>
    </row>
    <row r="128" spans="1:16" x14ac:dyDescent="0.25">
      <c r="O128" s="269"/>
      <c r="P128" s="712"/>
    </row>
  </sheetData>
  <sheetProtection algorithmName="SHA-512" hashValue="SSd3XzLQmmEIPH6KvuBwpK/w7XLYF97qodQtN1xva/4lrY7ViCV7IYLZ/J3BwuOh5PmK1iVKujVVA4E3t/Xw/w==" saltValue="1eF/cs+k6y/D0Q3q+SpxgA==" spinCount="100000" sheet="1" objects="1" scenarios="1"/>
  <mergeCells count="53">
    <mergeCell ref="M12:N12"/>
    <mergeCell ref="M9:N9"/>
    <mergeCell ref="M7:N8"/>
    <mergeCell ref="I9:J9"/>
    <mergeCell ref="I10:J10"/>
    <mergeCell ref="I11:J11"/>
    <mergeCell ref="I12:J12"/>
    <mergeCell ref="K7:L8"/>
    <mergeCell ref="K12:L12"/>
    <mergeCell ref="B1:D1"/>
    <mergeCell ref="B2:D2"/>
    <mergeCell ref="B3:D3"/>
    <mergeCell ref="M10:N10"/>
    <mergeCell ref="M11:N11"/>
    <mergeCell ref="I7:J8"/>
    <mergeCell ref="K9:L9"/>
    <mergeCell ref="K10:L10"/>
    <mergeCell ref="K11:L11"/>
    <mergeCell ref="A126:C126"/>
    <mergeCell ref="A112:C112"/>
    <mergeCell ref="A120:C120"/>
    <mergeCell ref="A113:C113"/>
    <mergeCell ref="A114:C114"/>
    <mergeCell ref="A115:C115"/>
    <mergeCell ref="A116:C116"/>
    <mergeCell ref="A118:C118"/>
    <mergeCell ref="A121:C121"/>
    <mergeCell ref="A125:C125"/>
    <mergeCell ref="A123:C123"/>
    <mergeCell ref="A124:C124"/>
    <mergeCell ref="A122:C122"/>
    <mergeCell ref="A117:C117"/>
    <mergeCell ref="A106:C106"/>
    <mergeCell ref="A109:C109"/>
    <mergeCell ref="A107:C107"/>
    <mergeCell ref="A66:A69"/>
    <mergeCell ref="A70:A74"/>
    <mergeCell ref="B66:B69"/>
    <mergeCell ref="B70:B74"/>
    <mergeCell ref="A108:C108"/>
    <mergeCell ref="A102:C102"/>
    <mergeCell ref="A103:C103"/>
    <mergeCell ref="A75:A80"/>
    <mergeCell ref="A81:A86"/>
    <mergeCell ref="B75:B80"/>
    <mergeCell ref="B81:B86"/>
    <mergeCell ref="M13:N13"/>
    <mergeCell ref="I13:J13"/>
    <mergeCell ref="K13:L13"/>
    <mergeCell ref="A104:C104"/>
    <mergeCell ref="A105:C105"/>
    <mergeCell ref="I16:L16"/>
    <mergeCell ref="I17:L17"/>
  </mergeCells>
  <pageMargins left="0.7" right="0.7" top="0.75" bottom="0.75" header="0.3" footer="0.3"/>
  <pageSetup paperSize="5" pageOrder="overThenDown" orientation="landscape" r:id="rId1"/>
  <rowBreaks count="3" manualBreakCount="3">
    <brk id="63" max="16383" man="1"/>
    <brk id="86" max="16383" man="1"/>
    <brk id="100" max="16383"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tabColor theme="9" tint="0.59999389629810485"/>
  </sheetPr>
  <dimension ref="A1:P68"/>
  <sheetViews>
    <sheetView zoomScaleNormal="100" zoomScaleSheetLayoutView="80" workbookViewId="0">
      <selection activeCell="F19" sqref="F19"/>
    </sheetView>
  </sheetViews>
  <sheetFormatPr defaultColWidth="9.140625" defaultRowHeight="15" x14ac:dyDescent="0.25"/>
  <cols>
    <col min="1" max="1" width="58.42578125" style="1" customWidth="1"/>
    <col min="2" max="13" width="12.42578125" style="1" customWidth="1"/>
    <col min="14" max="16384" width="9.140625" style="1"/>
  </cols>
  <sheetData>
    <row r="1" spans="1:15" ht="18.75" x14ac:dyDescent="0.3">
      <c r="A1" s="2" t="s">
        <v>305</v>
      </c>
      <c r="B1" s="754" t="s">
        <v>386</v>
      </c>
      <c r="C1" s="754"/>
      <c r="D1" s="754"/>
      <c r="E1" s="754"/>
    </row>
    <row r="2" spans="1:15" x14ac:dyDescent="0.25">
      <c r="B2" s="818" t="s">
        <v>379</v>
      </c>
      <c r="C2" s="818"/>
      <c r="D2" s="818"/>
      <c r="E2" s="818"/>
    </row>
    <row r="3" spans="1:15" x14ac:dyDescent="0.25">
      <c r="B3" s="815" t="s">
        <v>375</v>
      </c>
      <c r="C3" s="816"/>
      <c r="D3" s="816"/>
      <c r="E3" s="817"/>
    </row>
    <row r="5" spans="1:15" ht="15.75" x14ac:dyDescent="0.25">
      <c r="A5" s="15" t="s">
        <v>262</v>
      </c>
      <c r="N5" s="267"/>
      <c r="O5" s="267"/>
    </row>
    <row r="6" spans="1:15" ht="30" x14ac:dyDescent="0.25">
      <c r="A6" s="41" t="str">
        <f>'Exceptions &amp; Events'!A66</f>
        <v>Vessel Type</v>
      </c>
      <c r="B6" s="363" t="s">
        <v>474</v>
      </c>
      <c r="C6" s="363" t="s">
        <v>475</v>
      </c>
    </row>
    <row r="7" spans="1:15" x14ac:dyDescent="0.25">
      <c r="A7" s="10" t="s">
        <v>81</v>
      </c>
      <c r="B7" s="294">
        <f>'Exceptions &amp; Events'!B67</f>
        <v>2394.8312637444401</v>
      </c>
      <c r="C7" s="294">
        <f>'Exceptions &amp; Events'!C67</f>
        <v>2394.8312637444401</v>
      </c>
    </row>
    <row r="8" spans="1:15" x14ac:dyDescent="0.25">
      <c r="A8" s="10" t="s">
        <v>14</v>
      </c>
      <c r="B8" s="294">
        <f>'Exceptions &amp; Events'!B68</f>
        <v>12879.379619372015</v>
      </c>
      <c r="C8" s="294">
        <f>'Exceptions &amp; Events'!C68</f>
        <v>12879.379619372015</v>
      </c>
    </row>
    <row r="9" spans="1:15" x14ac:dyDescent="0.25">
      <c r="A9" s="715" t="s">
        <v>822</v>
      </c>
      <c r="B9" s="294">
        <f>'Exceptions &amp; Events'!B69</f>
        <v>1514.8167132393064</v>
      </c>
      <c r="C9" s="294">
        <f>'Exceptions &amp; Events'!C69</f>
        <v>1514.8167132393064</v>
      </c>
    </row>
    <row r="10" spans="1:15" x14ac:dyDescent="0.25">
      <c r="A10" s="10" t="s">
        <v>574</v>
      </c>
      <c r="B10" s="294">
        <f>AVERAGE('Exceptions &amp; Events'!B70:B71)</f>
        <v>5827.8046925379058</v>
      </c>
      <c r="C10" s="294">
        <f>AVERAGE('Exceptions &amp; Events'!C70:C71)</f>
        <v>5827.8046925379058</v>
      </c>
    </row>
    <row r="12" spans="1:15" x14ac:dyDescent="0.25">
      <c r="A12" s="284" t="s">
        <v>269</v>
      </c>
      <c r="B12" s="284" t="s">
        <v>15</v>
      </c>
      <c r="C12" s="265" t="s">
        <v>25</v>
      </c>
    </row>
    <row r="13" spans="1:15" x14ac:dyDescent="0.25">
      <c r="A13" s="244" t="s">
        <v>81</v>
      </c>
      <c r="B13" s="244" t="s">
        <v>288</v>
      </c>
      <c r="C13" s="374">
        <f>'Electricity &amp; Fuel'!C9</f>
        <v>38.7546172626759</v>
      </c>
    </row>
    <row r="14" spans="1:15" x14ac:dyDescent="0.25">
      <c r="A14" s="244" t="s">
        <v>14</v>
      </c>
      <c r="B14" s="244" t="s">
        <v>288</v>
      </c>
      <c r="C14" s="374">
        <f>'Electricity &amp; Fuel'!C10</f>
        <v>11.243408662899901</v>
      </c>
    </row>
    <row r="15" spans="1:15" x14ac:dyDescent="0.25">
      <c r="A15" s="715" t="s">
        <v>822</v>
      </c>
      <c r="B15" s="244" t="s">
        <v>288</v>
      </c>
      <c r="C15" s="268">
        <f>'Electricity &amp; Fuel'!C11</f>
        <v>19.8</v>
      </c>
    </row>
    <row r="16" spans="1:15" x14ac:dyDescent="0.25">
      <c r="A16" s="244" t="s">
        <v>225</v>
      </c>
      <c r="B16" s="244" t="s">
        <v>288</v>
      </c>
      <c r="C16" s="268">
        <f>AVERAGE('Electricity &amp; Fuel'!C12:C12)</f>
        <v>40.700000000000003</v>
      </c>
    </row>
    <row r="18" spans="1:13" ht="30" x14ac:dyDescent="0.25">
      <c r="A18" s="242" t="s">
        <v>309</v>
      </c>
      <c r="B18" s="265">
        <v>2021</v>
      </c>
      <c r="C18" s="265">
        <v>2022</v>
      </c>
      <c r="D18" s="265">
        <v>2023</v>
      </c>
      <c r="E18" s="265">
        <v>2024</v>
      </c>
      <c r="F18" s="265">
        <v>2025</v>
      </c>
      <c r="G18" s="265">
        <v>2026</v>
      </c>
      <c r="H18" s="265">
        <v>2027</v>
      </c>
      <c r="I18" s="265">
        <v>2028</v>
      </c>
      <c r="J18" s="265">
        <v>2029</v>
      </c>
      <c r="K18" s="265">
        <v>2030</v>
      </c>
      <c r="L18" s="265">
        <v>2031</v>
      </c>
      <c r="M18" s="265">
        <v>2032</v>
      </c>
    </row>
    <row r="19" spans="1:13" x14ac:dyDescent="0.25">
      <c r="A19" s="10" t="s">
        <v>81</v>
      </c>
      <c r="B19" s="266">
        <f>'Exceptions &amp; Events'!B46*'Vessel Visits'!$B$14</f>
        <v>18.578855140186914</v>
      </c>
      <c r="C19" s="266">
        <f>'Exceptions &amp; Events'!C46*'Vessel Visits'!$B14</f>
        <v>18.578855140186914</v>
      </c>
      <c r="D19" s="266">
        <f>'Exceptions &amp; Events'!D46*'Vessel Visits'!$B14</f>
        <v>18.578855140186914</v>
      </c>
      <c r="E19" s="266">
        <f>'Exceptions &amp; Events'!E46*'Vessel Visits'!$B14</f>
        <v>18.578855140186914</v>
      </c>
      <c r="F19" s="266">
        <f>'Exceptions &amp; Events'!F46*'Vessel Visits'!$B14</f>
        <v>18.578855140186914</v>
      </c>
      <c r="G19" s="266">
        <f>'Exceptions &amp; Events'!G46*'Vessel Visits'!$B14</f>
        <v>18.578855140186914</v>
      </c>
      <c r="H19" s="266">
        <f>'Exceptions &amp; Events'!H46*'Vessel Visits'!$B14</f>
        <v>18.578855140186914</v>
      </c>
      <c r="I19" s="266">
        <f>'Exceptions &amp; Events'!I46*'Vessel Visits'!$B14</f>
        <v>18.578855140186914</v>
      </c>
      <c r="J19" s="266">
        <f>'Exceptions &amp; Events'!J46*'Vessel Visits'!$B14</f>
        <v>18.578855140186914</v>
      </c>
      <c r="K19" s="266">
        <f>'Exceptions &amp; Events'!K46*'Vessel Visits'!$B14</f>
        <v>18.578855140186914</v>
      </c>
      <c r="L19" s="266">
        <f>'Exceptions &amp; Events'!L46*'Vessel Visits'!$B14</f>
        <v>18.578855140186914</v>
      </c>
      <c r="M19" s="266">
        <f>'Exceptions &amp; Events'!M46*'Vessel Visits'!$B14</f>
        <v>18.578855140186914</v>
      </c>
    </row>
    <row r="20" spans="1:13" x14ac:dyDescent="0.25">
      <c r="A20" s="10" t="s">
        <v>14</v>
      </c>
      <c r="B20" s="266">
        <f>'Exceptions &amp; Events'!B47*'Vessel Visits'!$B$64</f>
        <v>2.6165303738317753</v>
      </c>
      <c r="C20" s="266">
        <f>'Exceptions &amp; Events'!C47*'Vessel Visits'!$B64</f>
        <v>2.6165303738317753</v>
      </c>
      <c r="D20" s="266">
        <f>'Exceptions &amp; Events'!D47*'Vessel Visits'!$B64</f>
        <v>2.6165303738317753</v>
      </c>
      <c r="E20" s="266">
        <f>'Exceptions &amp; Events'!E47*'Vessel Visits'!$B64</f>
        <v>2.6165303738317753</v>
      </c>
      <c r="F20" s="266">
        <f>'Exceptions &amp; Events'!F47*'Vessel Visits'!$B64</f>
        <v>2.6165303738317753</v>
      </c>
      <c r="G20" s="266">
        <f>'Exceptions &amp; Events'!G47*'Vessel Visits'!$B64</f>
        <v>2.6165303738317753</v>
      </c>
      <c r="H20" s="266">
        <f>'Exceptions &amp; Events'!H47*'Vessel Visits'!$B64</f>
        <v>2.6165303738317753</v>
      </c>
      <c r="I20" s="266">
        <f>'Exceptions &amp; Events'!I47*'Vessel Visits'!$B64</f>
        <v>2.6165303738317753</v>
      </c>
      <c r="J20" s="266">
        <f>'Exceptions &amp; Events'!J47*'Vessel Visits'!$B64</f>
        <v>2.6165303738317753</v>
      </c>
      <c r="K20" s="266">
        <f>'Exceptions &amp; Events'!K47*'Vessel Visits'!$B64</f>
        <v>2.6165303738317753</v>
      </c>
      <c r="L20" s="266">
        <f>'Exceptions &amp; Events'!L47*'Vessel Visits'!$B64</f>
        <v>2.6165303738317753</v>
      </c>
      <c r="M20" s="266">
        <f>'Exceptions &amp; Events'!M47*'Vessel Visits'!$B64</f>
        <v>2.6165303738317753</v>
      </c>
    </row>
    <row r="21" spans="1:13" x14ac:dyDescent="0.25">
      <c r="A21" s="715" t="s">
        <v>822</v>
      </c>
      <c r="B21" s="283"/>
      <c r="C21" s="283"/>
      <c r="D21" s="283"/>
      <c r="E21" s="283"/>
      <c r="F21" s="266">
        <f>'Exceptions &amp; Events'!F48*'Vessel Visits'!$B$107</f>
        <v>5.0493574766355138</v>
      </c>
      <c r="G21" s="266">
        <f>'Exceptions &amp; Events'!G48*'Vessel Visits'!$B107</f>
        <v>5.0493574766355138</v>
      </c>
      <c r="H21" s="266">
        <f>'Exceptions &amp; Events'!H48*'Vessel Visits'!$B107</f>
        <v>5.0493574766355138</v>
      </c>
      <c r="I21" s="266">
        <f>'Exceptions &amp; Events'!I48*'Vessel Visits'!$B107</f>
        <v>5.0493574766355138</v>
      </c>
      <c r="J21" s="266">
        <f>'Exceptions &amp; Events'!J48*'Vessel Visits'!$B107</f>
        <v>5.0493574766355138</v>
      </c>
      <c r="K21" s="266">
        <f>'Exceptions &amp; Events'!K48*'Vessel Visits'!$B107</f>
        <v>5.0493574766355138</v>
      </c>
      <c r="L21" s="266">
        <f>'Exceptions &amp; Events'!L48*'Vessel Visits'!$B107</f>
        <v>5.0493574766355138</v>
      </c>
      <c r="M21" s="266">
        <f>'Exceptions &amp; Events'!M48*'Vessel Visits'!$B107</f>
        <v>5.0493574766355138</v>
      </c>
    </row>
    <row r="22" spans="1:13" x14ac:dyDescent="0.25">
      <c r="A22" s="10" t="s">
        <v>572</v>
      </c>
      <c r="B22" s="283"/>
      <c r="C22" s="283"/>
      <c r="D22" s="283"/>
      <c r="E22" s="283"/>
      <c r="F22" s="283"/>
      <c r="G22" s="283"/>
      <c r="H22" s="266">
        <f>'Exceptions &amp; Events'!H49*'Vessel Visits'!$B$148</f>
        <v>2.73</v>
      </c>
      <c r="I22" s="266">
        <f>'Exceptions &amp; Events'!I49*'Vessel Visits'!$B148</f>
        <v>2.73</v>
      </c>
      <c r="J22" s="266">
        <f>'Exceptions &amp; Events'!J49*'Vessel Visits'!$B148</f>
        <v>2.73</v>
      </c>
      <c r="K22" s="266">
        <f>'Exceptions &amp; Events'!K49*'Vessel Visits'!$B148</f>
        <v>2.73</v>
      </c>
      <c r="L22" s="266">
        <f>'Exceptions &amp; Events'!L49*'Vessel Visits'!$B148</f>
        <v>2.73</v>
      </c>
      <c r="M22" s="266">
        <f>'Exceptions &amp; Events'!M49*'Vessel Visits'!$B148</f>
        <v>2.73</v>
      </c>
    </row>
    <row r="23" spans="1:13" x14ac:dyDescent="0.25">
      <c r="A23" s="10" t="s">
        <v>573</v>
      </c>
      <c r="B23" s="283"/>
      <c r="C23" s="283"/>
      <c r="D23" s="283"/>
      <c r="E23" s="283"/>
      <c r="F23" s="283"/>
      <c r="G23" s="283"/>
      <c r="H23" s="283"/>
      <c r="I23" s="283"/>
      <c r="J23" s="266">
        <f>'Exceptions &amp; Events'!J50*'Vessel Visits'!$B$184</f>
        <v>3.87</v>
      </c>
      <c r="K23" s="266">
        <f>'Exceptions &amp; Events'!K50*'Vessel Visits'!$B184</f>
        <v>3.87</v>
      </c>
      <c r="L23" s="266">
        <f>'Exceptions &amp; Events'!L50*'Vessel Visits'!$B184</f>
        <v>3.87</v>
      </c>
      <c r="M23" s="266">
        <f>'Exceptions &amp; Events'!M50*'Vessel Visits'!$B184</f>
        <v>3.87</v>
      </c>
    </row>
    <row r="25" spans="1:13" ht="30" x14ac:dyDescent="0.25">
      <c r="A25" s="242" t="s">
        <v>310</v>
      </c>
      <c r="B25" s="265">
        <v>2021</v>
      </c>
      <c r="C25" s="265">
        <v>2022</v>
      </c>
      <c r="D25" s="265">
        <v>2023</v>
      </c>
      <c r="E25" s="265">
        <v>2024</v>
      </c>
      <c r="F25" s="265">
        <v>2025</v>
      </c>
      <c r="G25" s="265">
        <v>2026</v>
      </c>
      <c r="H25" s="265">
        <v>2027</v>
      </c>
      <c r="I25" s="265">
        <v>2028</v>
      </c>
      <c r="J25" s="265">
        <v>2029</v>
      </c>
      <c r="K25" s="265">
        <v>2030</v>
      </c>
      <c r="L25" s="265">
        <v>2031</v>
      </c>
      <c r="M25" s="265">
        <v>2032</v>
      </c>
    </row>
    <row r="26" spans="1:13" x14ac:dyDescent="0.25">
      <c r="A26" s="10" t="s">
        <v>81</v>
      </c>
      <c r="B26" s="266">
        <f>'Exceptions &amp; Events'!B56*'Vessel Visits'!$B$14</f>
        <v>0</v>
      </c>
      <c r="C26" s="266">
        <f>'Exceptions &amp; Events'!C56*'Vessel Visits'!$B$14</f>
        <v>0</v>
      </c>
      <c r="D26" s="266">
        <f>'Exceptions &amp; Events'!D56*'Vessel Visits'!$B$14</f>
        <v>0</v>
      </c>
      <c r="E26" s="266">
        <f>'Exceptions &amp; Events'!E56*'Vessel Visits'!$B$14</f>
        <v>0</v>
      </c>
      <c r="F26" s="266">
        <f>'Exceptions &amp; Events'!F56*'Vessel Visits'!$B$14</f>
        <v>0</v>
      </c>
      <c r="G26" s="266">
        <f>'Exceptions &amp; Events'!G56*'Vessel Visits'!$B$14</f>
        <v>0</v>
      </c>
      <c r="H26" s="266">
        <f>'Exceptions &amp; Events'!H56*'Vessel Visits'!$B$14</f>
        <v>0</v>
      </c>
      <c r="I26" s="266">
        <f>'Exceptions &amp; Events'!I56*'Vessel Visits'!$B$14</f>
        <v>0</v>
      </c>
      <c r="J26" s="266">
        <f>'Exceptions &amp; Events'!J56*'Vessel Visits'!$B$14</f>
        <v>0</v>
      </c>
      <c r="K26" s="266">
        <f>'Exceptions &amp; Events'!K56*'Vessel Visits'!$B$14</f>
        <v>0</v>
      </c>
      <c r="L26" s="266">
        <f>'Exceptions &amp; Events'!L56*'Vessel Visits'!$B$14</f>
        <v>0</v>
      </c>
      <c r="M26" s="266">
        <f>'Exceptions &amp; Events'!M56*'Vessel Visits'!$B$14</f>
        <v>0</v>
      </c>
    </row>
    <row r="27" spans="1:13" x14ac:dyDescent="0.25">
      <c r="A27" s="10" t="s">
        <v>14</v>
      </c>
      <c r="B27" s="266">
        <f>'Exceptions &amp; Events'!B57*'Vessel Visits'!$B$64</f>
        <v>0</v>
      </c>
      <c r="C27" s="266">
        <f>'Exceptions &amp; Events'!C57*'Vessel Visits'!$B$64</f>
        <v>0</v>
      </c>
      <c r="D27" s="266">
        <f>'Exceptions &amp; Events'!D57*'Vessel Visits'!$B$64</f>
        <v>0</v>
      </c>
      <c r="E27" s="266">
        <f>'Exceptions &amp; Events'!E57*'Vessel Visits'!$B$64</f>
        <v>0</v>
      </c>
      <c r="F27" s="266">
        <f>'Exceptions &amp; Events'!F57*'Vessel Visits'!$B$64</f>
        <v>0</v>
      </c>
      <c r="G27" s="266">
        <f>'Exceptions &amp; Events'!G57*'Vessel Visits'!$B$64</f>
        <v>0</v>
      </c>
      <c r="H27" s="266">
        <f>'Exceptions &amp; Events'!H57*'Vessel Visits'!$B$64</f>
        <v>0</v>
      </c>
      <c r="I27" s="266">
        <f>'Exceptions &amp; Events'!I57*'Vessel Visits'!$B$64</f>
        <v>0</v>
      </c>
      <c r="J27" s="266">
        <f>'Exceptions &amp; Events'!J57*'Vessel Visits'!$B$64</f>
        <v>0</v>
      </c>
      <c r="K27" s="266">
        <f>'Exceptions &amp; Events'!K57*'Vessel Visits'!$B$64</f>
        <v>0</v>
      </c>
      <c r="L27" s="266">
        <f>'Exceptions &amp; Events'!L57*'Vessel Visits'!$B$64</f>
        <v>0</v>
      </c>
      <c r="M27" s="266">
        <f>'Exceptions &amp; Events'!M57*'Vessel Visits'!$B$64</f>
        <v>0</v>
      </c>
    </row>
    <row r="28" spans="1:13" x14ac:dyDescent="0.25">
      <c r="A28" s="715" t="s">
        <v>822</v>
      </c>
      <c r="B28" s="283"/>
      <c r="C28" s="283"/>
      <c r="D28" s="283"/>
      <c r="E28" s="283"/>
      <c r="F28" s="266">
        <f>'Exceptions &amp; Events'!F58*'Vessel Visits'!$B$107</f>
        <v>0</v>
      </c>
      <c r="G28" s="266">
        <f>'Exceptions &amp; Events'!G58*'Vessel Visits'!$B$107</f>
        <v>0</v>
      </c>
      <c r="H28" s="266">
        <f>'Exceptions &amp; Events'!H58*'Vessel Visits'!$B$107</f>
        <v>0</v>
      </c>
      <c r="I28" s="266">
        <f>'Exceptions &amp; Events'!I58*'Vessel Visits'!$B$107</f>
        <v>0</v>
      </c>
      <c r="J28" s="266">
        <f>'Exceptions &amp; Events'!J58*'Vessel Visits'!$B$107</f>
        <v>0</v>
      </c>
      <c r="K28" s="266">
        <f>'Exceptions &amp; Events'!K58*'Vessel Visits'!$B$107</f>
        <v>0</v>
      </c>
      <c r="L28" s="266">
        <f>'Exceptions &amp; Events'!L58*'Vessel Visits'!$B$107</f>
        <v>0</v>
      </c>
      <c r="M28" s="266">
        <f>'Exceptions &amp; Events'!M58*'Vessel Visits'!$B$107</f>
        <v>0</v>
      </c>
    </row>
    <row r="29" spans="1:13" x14ac:dyDescent="0.25">
      <c r="A29" s="10" t="s">
        <v>572</v>
      </c>
      <c r="B29" s="283"/>
      <c r="C29" s="283"/>
      <c r="D29" s="283"/>
      <c r="E29" s="283"/>
      <c r="F29" s="283"/>
      <c r="G29" s="283"/>
      <c r="H29" s="266">
        <f>'Exceptions &amp; Events'!H59*'Vessel Visits'!$B$148</f>
        <v>0.9462738301559791</v>
      </c>
      <c r="I29" s="266">
        <f>'Exceptions &amp; Events'!I59*'Vessel Visits'!$B$148</f>
        <v>0.9462738301559791</v>
      </c>
      <c r="J29" s="266">
        <f>'Exceptions &amp; Events'!J59*'Vessel Visits'!$B$148</f>
        <v>0.9462738301559791</v>
      </c>
      <c r="K29" s="266">
        <f>'Exceptions &amp; Events'!K59*'Vessel Visits'!$B$148</f>
        <v>0.9462738301559791</v>
      </c>
      <c r="L29" s="266">
        <f>'Exceptions &amp; Events'!L59*'Vessel Visits'!$B$148</f>
        <v>0.9462738301559791</v>
      </c>
      <c r="M29" s="266">
        <f>'Exceptions &amp; Events'!M59*'Vessel Visits'!$B$148</f>
        <v>0.9462738301559791</v>
      </c>
    </row>
    <row r="30" spans="1:13" x14ac:dyDescent="0.25">
      <c r="A30" s="10" t="s">
        <v>573</v>
      </c>
      <c r="B30" s="283"/>
      <c r="C30" s="283"/>
      <c r="D30" s="283"/>
      <c r="E30" s="283"/>
      <c r="F30" s="283"/>
      <c r="G30" s="283"/>
      <c r="H30" s="283"/>
      <c r="I30" s="283"/>
      <c r="J30" s="266">
        <f>'Exceptions &amp; Events'!J60*'Vessel Visits'!$B$184</f>
        <v>0</v>
      </c>
      <c r="K30" s="266">
        <f>'Exceptions &amp; Events'!K60*'Vessel Visits'!$B$184</f>
        <v>0</v>
      </c>
      <c r="L30" s="266">
        <f>'Exceptions &amp; Events'!L60*'Vessel Visits'!$B$184</f>
        <v>0</v>
      </c>
      <c r="M30" s="266">
        <f>'Exceptions &amp; Events'!M60*'Vessel Visits'!$B$184</f>
        <v>0</v>
      </c>
    </row>
    <row r="32" spans="1:13" x14ac:dyDescent="0.25">
      <c r="A32" s="242" t="s">
        <v>236</v>
      </c>
      <c r="B32" s="265">
        <v>2021</v>
      </c>
      <c r="C32" s="265">
        <v>2022</v>
      </c>
      <c r="D32" s="265">
        <v>2023</v>
      </c>
      <c r="E32" s="265">
        <v>2024</v>
      </c>
      <c r="F32" s="265">
        <v>2025</v>
      </c>
      <c r="G32" s="265">
        <v>2026</v>
      </c>
      <c r="H32" s="265">
        <v>2027</v>
      </c>
      <c r="I32" s="265">
        <v>2028</v>
      </c>
      <c r="J32" s="265">
        <v>2029</v>
      </c>
      <c r="K32" s="265">
        <v>2030</v>
      </c>
      <c r="L32" s="265">
        <v>2031</v>
      </c>
      <c r="M32" s="265">
        <v>2032</v>
      </c>
    </row>
    <row r="33" spans="1:15" x14ac:dyDescent="0.25">
      <c r="A33" s="246" t="s">
        <v>232</v>
      </c>
      <c r="B33" s="222">
        <f>'SP Labor &amp; Energy'!D105</f>
        <v>0.19385114943417511</v>
      </c>
      <c r="C33" s="222">
        <f>'SP Labor &amp; Energy'!E105</f>
        <v>0.23786367889837565</v>
      </c>
      <c r="D33" s="222">
        <f>'SP Labor &amp; Energy'!F105</f>
        <v>0.28465423170158566</v>
      </c>
      <c r="E33" s="222">
        <f>'SP Labor &amp; Energy'!G105</f>
        <v>0.33429164292179847</v>
      </c>
      <c r="F33" s="222">
        <f>'SP Labor &amp; Energy'!H105</f>
        <v>0.41005488530447487</v>
      </c>
      <c r="G33" s="222">
        <f>'SP Labor &amp; Energy'!I105</f>
        <v>0.44448774785521072</v>
      </c>
      <c r="H33" s="222">
        <f>'SP Labor &amp; Energy'!J105</f>
        <v>0.48217019049045101</v>
      </c>
      <c r="I33" s="222">
        <f>'SP Labor &amp; Energy'!K105</f>
        <v>0.5230248906889251</v>
      </c>
      <c r="J33" s="222">
        <f>'SP Labor &amp; Energy'!L105</f>
        <v>0.56700845918311726</v>
      </c>
      <c r="K33" s="222">
        <f>'SP Labor &amp; Energy'!M105</f>
        <v>0.61410530272263486</v>
      </c>
      <c r="L33" s="222">
        <f>'SP Labor &amp; Energy'!N105</f>
        <v>0.69124079785891168</v>
      </c>
      <c r="M33" s="222">
        <f>'SP Labor &amp; Energy'!O105</f>
        <v>0.77207653050777736</v>
      </c>
    </row>
    <row r="34" spans="1:15" x14ac:dyDescent="0.25">
      <c r="A34" s="246" t="s">
        <v>233</v>
      </c>
      <c r="B34" s="222">
        <f>'SP Labor &amp; Energy'!D106</f>
        <v>0.20229643347303783</v>
      </c>
      <c r="C34" s="222">
        <f>'SP Labor &amp; Energy'!E106</f>
        <v>0.24654935829988212</v>
      </c>
      <c r="D34" s="222">
        <f>'SP Labor &amp; Energy'!F106</f>
        <v>0.29243110053082899</v>
      </c>
      <c r="E34" s="222">
        <f>'SP Labor &amp; Energy'!G106</f>
        <v>0.34000161204806295</v>
      </c>
      <c r="F34" s="222">
        <f>'SP Labor &amp; Energy'!H106</f>
        <v>0.38932305138271844</v>
      </c>
      <c r="G34" s="222">
        <f>'SP Labor &amp; Energy'!I106</f>
        <v>0.44045986493496619</v>
      </c>
      <c r="H34" s="222">
        <f>'SP Labor &amp; Energy'!J106</f>
        <v>0.4934788711836221</v>
      </c>
      <c r="I34" s="222">
        <f>'SP Labor &amp; Energy'!K106</f>
        <v>0.548449347995285</v>
      </c>
      <c r="J34" s="222">
        <f>'SP Labor &amp; Energy'!L106</f>
        <v>0.60544312314694371</v>
      </c>
      <c r="K34" s="222">
        <f>'SP Labor &amp; Energy'!M106</f>
        <v>0.66453466818061258</v>
      </c>
      <c r="L34" s="222">
        <f>'SP Labor &amp; Energy'!N106</f>
        <v>0.7258011957123357</v>
      </c>
      <c r="M34" s="222">
        <f>'SP Labor &amp; Energy'!O106</f>
        <v>0.78932276032292392</v>
      </c>
    </row>
    <row r="35" spans="1:15" x14ac:dyDescent="0.25">
      <c r="A35" s="716" t="s">
        <v>847</v>
      </c>
      <c r="B35" s="222">
        <f>'SP Labor &amp; Energy'!D107</f>
        <v>0.15102739754508301</v>
      </c>
      <c r="C35" s="222">
        <f>'SP Labor &amp; Energy'!E107</f>
        <v>0.18440519556548982</v>
      </c>
      <c r="D35" s="222">
        <f>'SP Labor &amp; Energy'!F107</f>
        <v>0.21887580559911993</v>
      </c>
      <c r="E35" s="222">
        <f>'SP Labor &amp; Energy'!G107</f>
        <v>0.2544794366551939</v>
      </c>
      <c r="F35" s="222">
        <f>'SP Labor &amp; Energy'!H107</f>
        <v>0.29125791799611689</v>
      </c>
      <c r="G35" s="222">
        <f>'SP Labor &amp; Energy'!I107</f>
        <v>0.32914486406438159</v>
      </c>
      <c r="H35" s="222">
        <f>'SP Labor &amp; Energy'!J107</f>
        <v>0.35936354031630968</v>
      </c>
      <c r="I35" s="222">
        <f>'SP Labor &amp; Energy'!K107</f>
        <v>0.39027252206645779</v>
      </c>
      <c r="J35" s="222">
        <f>'SP Labor &amp; Energy'!L107</f>
        <v>0.42188765098325831</v>
      </c>
      <c r="K35" s="222">
        <f>'SP Labor &amp; Energy'!M107</f>
        <v>0.45422513389525299</v>
      </c>
      <c r="L35" s="222">
        <f>'SP Labor &amp; Energy'!N107</f>
        <v>0.48860137895136968</v>
      </c>
      <c r="M35" s="222">
        <f>'SP Labor &amp; Energy'!O107</f>
        <v>0.52279793624620852</v>
      </c>
    </row>
    <row r="36" spans="1:15" x14ac:dyDescent="0.25">
      <c r="A36" s="246" t="s">
        <v>234</v>
      </c>
      <c r="B36" s="222">
        <f>'SP Labor &amp; Energy'!D108</f>
        <v>2.6628462023319498E-2</v>
      </c>
      <c r="C36" s="222">
        <f>'SP Labor &amp; Energy'!E108</f>
        <v>3.4642567685373271E-2</v>
      </c>
      <c r="D36" s="222">
        <f>'SP Labor &amp; Energy'!F108</f>
        <v>4.2769630813193044E-2</v>
      </c>
      <c r="E36" s="222">
        <f>'SP Labor &amp; Energy'!G108</f>
        <v>5.1013291136714503E-2</v>
      </c>
      <c r="F36" s="222">
        <f>'SP Labor &amp; Energy'!H108</f>
        <v>5.9377352889062179E-2</v>
      </c>
      <c r="G36" s="222">
        <f>'SP Labor &amp; Energy'!I108</f>
        <v>7.0987745336126756E-2</v>
      </c>
      <c r="H36" s="222">
        <f>'SP Labor &amp; Energy'!J108</f>
        <v>8.2319423047410883E-2</v>
      </c>
      <c r="I36" s="222">
        <f>'SP Labor &amp; Energy'!K108</f>
        <v>9.3817950353126484E-2</v>
      </c>
      <c r="J36" s="222">
        <f>'SP Labor &amp; Energy'!L108</f>
        <v>0.10548686029160387</v>
      </c>
      <c r="K36" s="222">
        <f>'SP Labor &amp; Energy'!M108</f>
        <v>0.11732978702575415</v>
      </c>
      <c r="L36" s="222">
        <f>'SP Labor &amp; Energy'!N108</f>
        <v>0.13037367245195625</v>
      </c>
      <c r="M36" s="222">
        <f>'SP Labor &amp; Energy'!O108</f>
        <v>0.14323738568409056</v>
      </c>
    </row>
    <row r="37" spans="1:15" s="21" customFormat="1" x14ac:dyDescent="0.25">
      <c r="A37" s="72"/>
      <c r="B37" s="48"/>
      <c r="C37" s="48"/>
      <c r="D37" s="48"/>
      <c r="E37" s="48"/>
      <c r="F37" s="48"/>
      <c r="G37" s="48"/>
      <c r="H37" s="48"/>
      <c r="I37" s="48"/>
      <c r="J37" s="48"/>
      <c r="K37" s="48"/>
      <c r="L37" s="48"/>
      <c r="M37" s="48"/>
    </row>
    <row r="38" spans="1:15" ht="15.75" x14ac:dyDescent="0.25">
      <c r="A38" s="15" t="s">
        <v>261</v>
      </c>
      <c r="N38" s="267"/>
      <c r="O38" s="267"/>
    </row>
    <row r="39" spans="1:15" s="3" customFormat="1" ht="60" x14ac:dyDescent="0.25">
      <c r="A39" s="9" t="s">
        <v>311</v>
      </c>
      <c r="B39" s="252">
        <v>2021</v>
      </c>
      <c r="C39" s="252">
        <v>2022</v>
      </c>
      <c r="D39" s="252">
        <v>2023</v>
      </c>
      <c r="E39" s="252">
        <v>2024</v>
      </c>
      <c r="F39" s="252">
        <v>2025</v>
      </c>
      <c r="G39" s="252">
        <v>2026</v>
      </c>
      <c r="H39" s="252">
        <v>2027</v>
      </c>
      <c r="I39" s="252">
        <v>2028</v>
      </c>
      <c r="J39" s="252">
        <v>2029</v>
      </c>
      <c r="K39" s="252">
        <v>2030</v>
      </c>
      <c r="L39" s="181">
        <v>2031</v>
      </c>
      <c r="M39" s="181">
        <v>2032</v>
      </c>
    </row>
    <row r="40" spans="1:15" x14ac:dyDescent="0.25">
      <c r="A40" s="10" t="s">
        <v>81</v>
      </c>
      <c r="B40" s="377">
        <f>B19*$C$13*$C$7*(1+B$33)</f>
        <v>2058578.8273378282</v>
      </c>
      <c r="C40" s="377">
        <f t="shared" ref="C40:M40" si="0">C19*$C13*$C7*(1+C33)</f>
        <v>2134470.4167839056</v>
      </c>
      <c r="D40" s="377">
        <f t="shared" si="0"/>
        <v>2215152.2014149064</v>
      </c>
      <c r="E40" s="377">
        <f t="shared" si="0"/>
        <v>2300742.8747833748</v>
      </c>
      <c r="F40" s="377">
        <f t="shared" si="0"/>
        <v>2431382.7847364377</v>
      </c>
      <c r="G40" s="377">
        <f t="shared" si="0"/>
        <v>2490755.9836860504</v>
      </c>
      <c r="H40" s="377">
        <f t="shared" si="0"/>
        <v>2555732.4915262805</v>
      </c>
      <c r="I40" s="377">
        <f t="shared" si="0"/>
        <v>2626178.9796547829</v>
      </c>
      <c r="J40" s="377">
        <f t="shared" si="0"/>
        <v>2702020.6311838035</v>
      </c>
      <c r="K40" s="377">
        <f t="shared" si="0"/>
        <v>2783230.5583936102</v>
      </c>
      <c r="L40" s="377">
        <f t="shared" si="0"/>
        <v>2916236.6682415735</v>
      </c>
      <c r="M40" s="377">
        <f t="shared" si="0"/>
        <v>3055623.1636201343</v>
      </c>
      <c r="N40" s="11"/>
    </row>
    <row r="41" spans="1:15" x14ac:dyDescent="0.25">
      <c r="A41" s="10" t="s">
        <v>14</v>
      </c>
      <c r="B41" s="377">
        <f>B20*$C14*$C8*(1+B34)</f>
        <v>455543.9464109313</v>
      </c>
      <c r="C41" s="377">
        <f t="shared" ref="C41:M41" si="1">C20*$C14*$C8*(1+C34)</f>
        <v>472311.15244647925</v>
      </c>
      <c r="D41" s="377">
        <f t="shared" si="1"/>
        <v>489695.50903457799</v>
      </c>
      <c r="E41" s="377">
        <f t="shared" si="1"/>
        <v>507719.73163561203</v>
      </c>
      <c r="F41" s="377">
        <f t="shared" si="1"/>
        <v>526407.37179792498</v>
      </c>
      <c r="G41" s="377">
        <f t="shared" si="1"/>
        <v>545782.84793169273</v>
      </c>
      <c r="H41" s="377">
        <f t="shared" si="1"/>
        <v>565871.47721551254</v>
      </c>
      <c r="I41" s="377">
        <f t="shared" si="1"/>
        <v>586699.50867738668</v>
      </c>
      <c r="J41" s="377">
        <f t="shared" si="1"/>
        <v>608294.15749327373</v>
      </c>
      <c r="K41" s="377">
        <f t="shared" si="1"/>
        <v>630683.6405481284</v>
      </c>
      <c r="L41" s="377">
        <f t="shared" si="1"/>
        <v>653897.21330578323</v>
      </c>
      <c r="M41" s="377">
        <f t="shared" si="1"/>
        <v>677965.20803593076</v>
      </c>
    </row>
    <row r="42" spans="1:15" x14ac:dyDescent="0.25">
      <c r="A42" s="715" t="s">
        <v>822</v>
      </c>
      <c r="B42" s="377">
        <f>B21*$C15*$C9*(1+B35)</f>
        <v>0</v>
      </c>
      <c r="C42" s="377">
        <f t="shared" ref="C42:M42" si="2">C21*$C15*$C9*(1+C35)</f>
        <v>0</v>
      </c>
      <c r="D42" s="377">
        <f t="shared" si="2"/>
        <v>0</v>
      </c>
      <c r="E42" s="377">
        <f t="shared" si="2"/>
        <v>0</v>
      </c>
      <c r="F42" s="377">
        <f t="shared" si="2"/>
        <v>195557.46293600436</v>
      </c>
      <c r="G42" s="377">
        <f t="shared" si="2"/>
        <v>201295.33679392512</v>
      </c>
      <c r="H42" s="377">
        <f t="shared" si="2"/>
        <v>205871.87226275101</v>
      </c>
      <c r="I42" s="377">
        <f t="shared" si="2"/>
        <v>210552.95260212626</v>
      </c>
      <c r="J42" s="377">
        <f t="shared" si="2"/>
        <v>215340.97698919749</v>
      </c>
      <c r="K42" s="377">
        <f t="shared" si="2"/>
        <v>220238.39990360636</v>
      </c>
      <c r="L42" s="377">
        <f t="shared" si="2"/>
        <v>225444.58774164351</v>
      </c>
      <c r="M42" s="377">
        <f t="shared" si="2"/>
        <v>230623.56236206825</v>
      </c>
    </row>
    <row r="43" spans="1:15" x14ac:dyDescent="0.25">
      <c r="A43" s="10" t="s">
        <v>572</v>
      </c>
      <c r="B43" s="377">
        <f t="shared" ref="B43:M43" si="3">B22*$C$16*$C$10*(1+B$36)</f>
        <v>0</v>
      </c>
      <c r="C43" s="377">
        <f t="shared" si="3"/>
        <v>0</v>
      </c>
      <c r="D43" s="377">
        <f t="shared" si="3"/>
        <v>0</v>
      </c>
      <c r="E43" s="377">
        <f t="shared" si="3"/>
        <v>0</v>
      </c>
      <c r="F43" s="377">
        <f t="shared" si="3"/>
        <v>0</v>
      </c>
      <c r="G43" s="377">
        <f t="shared" si="3"/>
        <v>0</v>
      </c>
      <c r="H43" s="377">
        <f t="shared" si="3"/>
        <v>700837.76721271197</v>
      </c>
      <c r="I43" s="377">
        <f t="shared" si="3"/>
        <v>708283.44547697343</v>
      </c>
      <c r="J43" s="377">
        <f t="shared" si="3"/>
        <v>715839.45215387712</v>
      </c>
      <c r="K43" s="377">
        <f t="shared" si="3"/>
        <v>723508.1404845881</v>
      </c>
      <c r="L43" s="377">
        <f t="shared" si="3"/>
        <v>731954.48944886925</v>
      </c>
      <c r="M43" s="377">
        <f t="shared" si="3"/>
        <v>740284.17093447887</v>
      </c>
    </row>
    <row r="44" spans="1:15" x14ac:dyDescent="0.25">
      <c r="A44" s="10" t="s">
        <v>573</v>
      </c>
      <c r="B44" s="377">
        <f t="shared" ref="B44:M44" si="4">B23*$C$16*$C$10*(1+B$36)</f>
        <v>0</v>
      </c>
      <c r="C44" s="377">
        <f t="shared" si="4"/>
        <v>0</v>
      </c>
      <c r="D44" s="377">
        <f t="shared" si="4"/>
        <v>0</v>
      </c>
      <c r="E44" s="377">
        <f t="shared" si="4"/>
        <v>0</v>
      </c>
      <c r="F44" s="377">
        <f t="shared" si="4"/>
        <v>0</v>
      </c>
      <c r="G44" s="377">
        <f t="shared" si="4"/>
        <v>0</v>
      </c>
      <c r="H44" s="377">
        <f t="shared" si="4"/>
        <v>0</v>
      </c>
      <c r="I44" s="377">
        <f t="shared" si="4"/>
        <v>0</v>
      </c>
      <c r="J44" s="377">
        <f t="shared" si="4"/>
        <v>1014761.4211851665</v>
      </c>
      <c r="K44" s="377">
        <f t="shared" si="4"/>
        <v>1025632.4189287019</v>
      </c>
      <c r="L44" s="377">
        <f t="shared" si="4"/>
        <v>1037605.8147132323</v>
      </c>
      <c r="M44" s="377">
        <f t="shared" si="4"/>
        <v>1049413.8247312943</v>
      </c>
    </row>
    <row r="45" spans="1:15" x14ac:dyDescent="0.25">
      <c r="A45" s="14"/>
      <c r="B45" s="71"/>
      <c r="C45" s="71"/>
      <c r="D45" s="71"/>
      <c r="E45" s="71"/>
      <c r="F45" s="71"/>
      <c r="G45" s="71"/>
      <c r="H45" s="71"/>
      <c r="I45" s="71"/>
      <c r="J45" s="71"/>
      <c r="K45" s="71"/>
      <c r="L45" s="71"/>
      <c r="M45" s="71"/>
    </row>
    <row r="46" spans="1:15" s="3" customFormat="1" ht="60" x14ac:dyDescent="0.25">
      <c r="A46" s="9" t="s">
        <v>312</v>
      </c>
      <c r="B46" s="285">
        <v>2021</v>
      </c>
      <c r="C46" s="285">
        <v>2022</v>
      </c>
      <c r="D46" s="285">
        <v>2023</v>
      </c>
      <c r="E46" s="285">
        <v>2024</v>
      </c>
      <c r="F46" s="285">
        <v>2025</v>
      </c>
      <c r="G46" s="285">
        <v>2026</v>
      </c>
      <c r="H46" s="285">
        <v>2027</v>
      </c>
      <c r="I46" s="285">
        <v>2028</v>
      </c>
      <c r="J46" s="285">
        <v>2029</v>
      </c>
      <c r="K46" s="285">
        <v>2030</v>
      </c>
      <c r="L46" s="181">
        <v>2031</v>
      </c>
      <c r="M46" s="181">
        <v>2032</v>
      </c>
    </row>
    <row r="47" spans="1:15" x14ac:dyDescent="0.25">
      <c r="A47" s="10" t="s">
        <v>81</v>
      </c>
      <c r="B47" s="377">
        <f t="shared" ref="B47:M47" si="5">B26*$C13*$B7*(1+B33)</f>
        <v>0</v>
      </c>
      <c r="C47" s="377">
        <f t="shared" si="5"/>
        <v>0</v>
      </c>
      <c r="D47" s="377">
        <f t="shared" si="5"/>
        <v>0</v>
      </c>
      <c r="E47" s="377">
        <f t="shared" si="5"/>
        <v>0</v>
      </c>
      <c r="F47" s="377">
        <f t="shared" si="5"/>
        <v>0</v>
      </c>
      <c r="G47" s="377">
        <f t="shared" si="5"/>
        <v>0</v>
      </c>
      <c r="H47" s="377">
        <f t="shared" si="5"/>
        <v>0</v>
      </c>
      <c r="I47" s="377">
        <f t="shared" si="5"/>
        <v>0</v>
      </c>
      <c r="J47" s="377">
        <f t="shared" si="5"/>
        <v>0</v>
      </c>
      <c r="K47" s="377">
        <f t="shared" si="5"/>
        <v>0</v>
      </c>
      <c r="L47" s="377">
        <f t="shared" si="5"/>
        <v>0</v>
      </c>
      <c r="M47" s="377">
        <f t="shared" si="5"/>
        <v>0</v>
      </c>
      <c r="N47" s="11"/>
    </row>
    <row r="48" spans="1:15" x14ac:dyDescent="0.25">
      <c r="A48" s="10" t="s">
        <v>14</v>
      </c>
      <c r="B48" s="377">
        <f t="shared" ref="B48:M48" si="6">B27*$C14*$B8*(1+B34)</f>
        <v>0</v>
      </c>
      <c r="C48" s="377">
        <f t="shared" si="6"/>
        <v>0</v>
      </c>
      <c r="D48" s="377">
        <f t="shared" si="6"/>
        <v>0</v>
      </c>
      <c r="E48" s="377">
        <f t="shared" si="6"/>
        <v>0</v>
      </c>
      <c r="F48" s="377">
        <f t="shared" si="6"/>
        <v>0</v>
      </c>
      <c r="G48" s="377">
        <f t="shared" si="6"/>
        <v>0</v>
      </c>
      <c r="H48" s="377">
        <f t="shared" si="6"/>
        <v>0</v>
      </c>
      <c r="I48" s="377">
        <f t="shared" si="6"/>
        <v>0</v>
      </c>
      <c r="J48" s="377">
        <f t="shared" si="6"/>
        <v>0</v>
      </c>
      <c r="K48" s="377">
        <f t="shared" si="6"/>
        <v>0</v>
      </c>
      <c r="L48" s="377">
        <f t="shared" si="6"/>
        <v>0</v>
      </c>
      <c r="M48" s="377">
        <f t="shared" si="6"/>
        <v>0</v>
      </c>
    </row>
    <row r="49" spans="1:16" x14ac:dyDescent="0.25">
      <c r="A49" s="715" t="s">
        <v>822</v>
      </c>
      <c r="B49" s="377">
        <f t="shared" ref="B49:M49" si="7">B28*$C15*$B9*(1+B35)</f>
        <v>0</v>
      </c>
      <c r="C49" s="377">
        <f t="shared" si="7"/>
        <v>0</v>
      </c>
      <c r="D49" s="377">
        <f t="shared" si="7"/>
        <v>0</v>
      </c>
      <c r="E49" s="377">
        <f t="shared" si="7"/>
        <v>0</v>
      </c>
      <c r="F49" s="377">
        <f t="shared" si="7"/>
        <v>0</v>
      </c>
      <c r="G49" s="377">
        <f t="shared" si="7"/>
        <v>0</v>
      </c>
      <c r="H49" s="377">
        <f t="shared" si="7"/>
        <v>0</v>
      </c>
      <c r="I49" s="377">
        <f t="shared" si="7"/>
        <v>0</v>
      </c>
      <c r="J49" s="377">
        <f t="shared" si="7"/>
        <v>0</v>
      </c>
      <c r="K49" s="377">
        <f t="shared" si="7"/>
        <v>0</v>
      </c>
      <c r="L49" s="377">
        <f t="shared" si="7"/>
        <v>0</v>
      </c>
      <c r="M49" s="377">
        <f t="shared" si="7"/>
        <v>0</v>
      </c>
    </row>
    <row r="50" spans="1:16" x14ac:dyDescent="0.25">
      <c r="A50" s="10" t="s">
        <v>572</v>
      </c>
      <c r="B50" s="377">
        <f t="shared" ref="B50:M50" si="8">B29*$C$16*$B$10*(1+B$36)</f>
        <v>0</v>
      </c>
      <c r="C50" s="377">
        <f t="shared" si="8"/>
        <v>0</v>
      </c>
      <c r="D50" s="377">
        <f t="shared" si="8"/>
        <v>0</v>
      </c>
      <c r="E50" s="377">
        <f t="shared" si="8"/>
        <v>0</v>
      </c>
      <c r="F50" s="377">
        <f t="shared" si="8"/>
        <v>0</v>
      </c>
      <c r="G50" s="377">
        <f t="shared" si="8"/>
        <v>0</v>
      </c>
      <c r="H50" s="377">
        <f t="shared" si="8"/>
        <v>242924.7026733837</v>
      </c>
      <c r="I50" s="377">
        <f t="shared" si="8"/>
        <v>245505.52702841366</v>
      </c>
      <c r="J50" s="377">
        <f t="shared" si="8"/>
        <v>248124.59346754837</v>
      </c>
      <c r="K50" s="377">
        <f t="shared" si="8"/>
        <v>250782.7176723009</v>
      </c>
      <c r="L50" s="377">
        <f t="shared" si="8"/>
        <v>253710.39495628051</v>
      </c>
      <c r="M50" s="377">
        <f t="shared" si="8"/>
        <v>256597.63290623183</v>
      </c>
    </row>
    <row r="51" spans="1:16" x14ac:dyDescent="0.25">
      <c r="A51" s="10" t="s">
        <v>573</v>
      </c>
      <c r="B51" s="377">
        <f t="shared" ref="B51:M51" si="9">B30*$C$16*$B$10*(1+B$36)</f>
        <v>0</v>
      </c>
      <c r="C51" s="377">
        <f t="shared" si="9"/>
        <v>0</v>
      </c>
      <c r="D51" s="377">
        <f t="shared" si="9"/>
        <v>0</v>
      </c>
      <c r="E51" s="377">
        <f t="shared" si="9"/>
        <v>0</v>
      </c>
      <c r="F51" s="377">
        <f t="shared" si="9"/>
        <v>0</v>
      </c>
      <c r="G51" s="377">
        <f t="shared" si="9"/>
        <v>0</v>
      </c>
      <c r="H51" s="377">
        <f t="shared" si="9"/>
        <v>0</v>
      </c>
      <c r="I51" s="377">
        <f t="shared" si="9"/>
        <v>0</v>
      </c>
      <c r="J51" s="377">
        <f t="shared" si="9"/>
        <v>0</v>
      </c>
      <c r="K51" s="377">
        <f t="shared" si="9"/>
        <v>0</v>
      </c>
      <c r="L51" s="377">
        <f t="shared" si="9"/>
        <v>0</v>
      </c>
      <c r="M51" s="377">
        <f t="shared" si="9"/>
        <v>0</v>
      </c>
    </row>
    <row r="53" spans="1:16" x14ac:dyDescent="0.25">
      <c r="A53" s="295" t="s">
        <v>477</v>
      </c>
      <c r="B53" s="71"/>
      <c r="C53" s="71"/>
      <c r="D53" s="71"/>
      <c r="E53" s="71"/>
      <c r="F53" s="71"/>
      <c r="G53" s="71"/>
      <c r="H53" s="71"/>
      <c r="I53" s="71"/>
      <c r="J53" s="71"/>
      <c r="K53" s="71"/>
      <c r="L53" s="71"/>
      <c r="M53" s="71"/>
    </row>
    <row r="54" spans="1:16" s="18" customFormat="1" x14ac:dyDescent="0.25">
      <c r="A54" s="127" t="s">
        <v>476</v>
      </c>
      <c r="B54" s="249"/>
      <c r="C54" s="249"/>
      <c r="D54" s="249"/>
      <c r="E54" s="249"/>
      <c r="F54" s="249"/>
      <c r="G54" s="249"/>
      <c r="H54" s="249"/>
      <c r="I54" s="249"/>
      <c r="J54" s="249"/>
      <c r="K54" s="249"/>
      <c r="L54" s="249"/>
      <c r="M54" s="249"/>
    </row>
    <row r="55" spans="1:16" x14ac:dyDescent="0.25">
      <c r="A55" s="14"/>
    </row>
    <row r="56" spans="1:16" ht="15.75" x14ac:dyDescent="0.25">
      <c r="A56" s="15" t="s">
        <v>227</v>
      </c>
      <c r="P56" s="267"/>
    </row>
    <row r="57" spans="1:16" ht="15" customHeight="1" x14ac:dyDescent="0.25">
      <c r="A57" s="9" t="s">
        <v>313</v>
      </c>
      <c r="B57" s="285">
        <v>2021</v>
      </c>
      <c r="C57" s="285">
        <v>2022</v>
      </c>
      <c r="D57" s="285">
        <v>2023</v>
      </c>
      <c r="E57" s="285">
        <v>2024</v>
      </c>
      <c r="F57" s="285">
        <v>2025</v>
      </c>
      <c r="G57" s="285">
        <v>2026</v>
      </c>
      <c r="H57" s="285">
        <v>2027</v>
      </c>
      <c r="I57" s="285">
        <v>2028</v>
      </c>
      <c r="J57" s="285">
        <v>2029</v>
      </c>
      <c r="K57" s="285">
        <v>2030</v>
      </c>
      <c r="L57" s="181">
        <v>2031</v>
      </c>
      <c r="M57" s="181">
        <v>2032</v>
      </c>
      <c r="N57" s="267"/>
    </row>
    <row r="58" spans="1:16" x14ac:dyDescent="0.25">
      <c r="A58" s="10" t="s">
        <v>81</v>
      </c>
      <c r="B58" s="377">
        <f t="shared" ref="B58:M58" si="10">B40+B47</f>
        <v>2058578.8273378282</v>
      </c>
      <c r="C58" s="377">
        <f t="shared" si="10"/>
        <v>2134470.4167839056</v>
      </c>
      <c r="D58" s="377">
        <f t="shared" si="10"/>
        <v>2215152.2014149064</v>
      </c>
      <c r="E58" s="377">
        <f t="shared" si="10"/>
        <v>2300742.8747833748</v>
      </c>
      <c r="F58" s="377">
        <f t="shared" si="10"/>
        <v>2431382.7847364377</v>
      </c>
      <c r="G58" s="377">
        <f t="shared" si="10"/>
        <v>2490755.9836860504</v>
      </c>
      <c r="H58" s="377">
        <f t="shared" si="10"/>
        <v>2555732.4915262805</v>
      </c>
      <c r="I58" s="377">
        <f t="shared" si="10"/>
        <v>2626178.9796547829</v>
      </c>
      <c r="J58" s="377">
        <f t="shared" si="10"/>
        <v>2702020.6311838035</v>
      </c>
      <c r="K58" s="377">
        <f t="shared" si="10"/>
        <v>2783230.5583936102</v>
      </c>
      <c r="L58" s="377">
        <f t="shared" si="10"/>
        <v>2916236.6682415735</v>
      </c>
      <c r="M58" s="377">
        <f t="shared" si="10"/>
        <v>3055623.1636201343</v>
      </c>
    </row>
    <row r="59" spans="1:16" x14ac:dyDescent="0.25">
      <c r="A59" s="10" t="s">
        <v>14</v>
      </c>
      <c r="B59" s="377">
        <f t="shared" ref="B59:M59" si="11">B41+B48</f>
        <v>455543.9464109313</v>
      </c>
      <c r="C59" s="377">
        <f t="shared" si="11"/>
        <v>472311.15244647925</v>
      </c>
      <c r="D59" s="377">
        <f t="shared" si="11"/>
        <v>489695.50903457799</v>
      </c>
      <c r="E59" s="377">
        <f t="shared" si="11"/>
        <v>507719.73163561203</v>
      </c>
      <c r="F59" s="377">
        <f t="shared" si="11"/>
        <v>526407.37179792498</v>
      </c>
      <c r="G59" s="377">
        <f t="shared" si="11"/>
        <v>545782.84793169273</v>
      </c>
      <c r="H59" s="377">
        <f t="shared" si="11"/>
        <v>565871.47721551254</v>
      </c>
      <c r="I59" s="377">
        <f t="shared" si="11"/>
        <v>586699.50867738668</v>
      </c>
      <c r="J59" s="377">
        <f t="shared" si="11"/>
        <v>608294.15749327373</v>
      </c>
      <c r="K59" s="377">
        <f t="shared" si="11"/>
        <v>630683.6405481284</v>
      </c>
      <c r="L59" s="377">
        <f t="shared" si="11"/>
        <v>653897.21330578323</v>
      </c>
      <c r="M59" s="377">
        <f t="shared" si="11"/>
        <v>677965.20803593076</v>
      </c>
    </row>
    <row r="60" spans="1:16" x14ac:dyDescent="0.25">
      <c r="A60" s="715" t="s">
        <v>822</v>
      </c>
      <c r="B60" s="377">
        <f t="shared" ref="B60:M60" si="12">B42+B49</f>
        <v>0</v>
      </c>
      <c r="C60" s="377">
        <f t="shared" si="12"/>
        <v>0</v>
      </c>
      <c r="D60" s="377">
        <f t="shared" si="12"/>
        <v>0</v>
      </c>
      <c r="E60" s="377">
        <f t="shared" si="12"/>
        <v>0</v>
      </c>
      <c r="F60" s="377">
        <f t="shared" si="12"/>
        <v>195557.46293600436</v>
      </c>
      <c r="G60" s="377">
        <f t="shared" si="12"/>
        <v>201295.33679392512</v>
      </c>
      <c r="H60" s="377">
        <f t="shared" si="12"/>
        <v>205871.87226275101</v>
      </c>
      <c r="I60" s="377">
        <f t="shared" si="12"/>
        <v>210552.95260212626</v>
      </c>
      <c r="J60" s="377">
        <f t="shared" si="12"/>
        <v>215340.97698919749</v>
      </c>
      <c r="K60" s="377">
        <f t="shared" si="12"/>
        <v>220238.39990360636</v>
      </c>
      <c r="L60" s="377">
        <f t="shared" si="12"/>
        <v>225444.58774164351</v>
      </c>
      <c r="M60" s="377">
        <f t="shared" si="12"/>
        <v>230623.56236206825</v>
      </c>
    </row>
    <row r="61" spans="1:16" x14ac:dyDescent="0.25">
      <c r="A61" s="10" t="s">
        <v>572</v>
      </c>
      <c r="B61" s="377">
        <f t="shared" ref="B61:M61" si="13">B43+B50</f>
        <v>0</v>
      </c>
      <c r="C61" s="377">
        <f t="shared" si="13"/>
        <v>0</v>
      </c>
      <c r="D61" s="377">
        <f t="shared" si="13"/>
        <v>0</v>
      </c>
      <c r="E61" s="377">
        <f t="shared" si="13"/>
        <v>0</v>
      </c>
      <c r="F61" s="377">
        <f t="shared" si="13"/>
        <v>0</v>
      </c>
      <c r="G61" s="377">
        <f t="shared" si="13"/>
        <v>0</v>
      </c>
      <c r="H61" s="377">
        <f t="shared" si="13"/>
        <v>943762.46988609573</v>
      </c>
      <c r="I61" s="377">
        <f t="shared" si="13"/>
        <v>953788.97250538715</v>
      </c>
      <c r="J61" s="377">
        <f t="shared" si="13"/>
        <v>963964.0456214255</v>
      </c>
      <c r="K61" s="377">
        <f t="shared" si="13"/>
        <v>974290.85815688898</v>
      </c>
      <c r="L61" s="377">
        <f t="shared" si="13"/>
        <v>985664.88440514973</v>
      </c>
      <c r="M61" s="377">
        <f t="shared" si="13"/>
        <v>996881.80384071067</v>
      </c>
    </row>
    <row r="62" spans="1:16" ht="15.75" thickBot="1" x14ac:dyDescent="0.3">
      <c r="A62" s="296" t="s">
        <v>573</v>
      </c>
      <c r="B62" s="378">
        <f t="shared" ref="B62:M62" si="14">B44+B51</f>
        <v>0</v>
      </c>
      <c r="C62" s="378">
        <f t="shared" si="14"/>
        <v>0</v>
      </c>
      <c r="D62" s="378">
        <f t="shared" si="14"/>
        <v>0</v>
      </c>
      <c r="E62" s="378">
        <f t="shared" si="14"/>
        <v>0</v>
      </c>
      <c r="F62" s="378">
        <f t="shared" si="14"/>
        <v>0</v>
      </c>
      <c r="G62" s="378">
        <f t="shared" si="14"/>
        <v>0</v>
      </c>
      <c r="H62" s="378">
        <f t="shared" si="14"/>
        <v>0</v>
      </c>
      <c r="I62" s="378">
        <f t="shared" si="14"/>
        <v>0</v>
      </c>
      <c r="J62" s="378">
        <f t="shared" si="14"/>
        <v>1014761.4211851665</v>
      </c>
      <c r="K62" s="378">
        <f t="shared" si="14"/>
        <v>1025632.4189287019</v>
      </c>
      <c r="L62" s="378">
        <f t="shared" si="14"/>
        <v>1037605.8147132323</v>
      </c>
      <c r="M62" s="378">
        <f t="shared" si="14"/>
        <v>1049413.8247312943</v>
      </c>
    </row>
    <row r="63" spans="1:16" ht="15.75" thickTop="1" x14ac:dyDescent="0.25">
      <c r="A63" s="297" t="s">
        <v>75</v>
      </c>
      <c r="B63" s="392">
        <f>SUM(B58:B62)</f>
        <v>2514122.7737487596</v>
      </c>
      <c r="C63" s="392">
        <f t="shared" ref="C63:M63" si="15">SUM(C58:C62)</f>
        <v>2606781.5692303847</v>
      </c>
      <c r="D63" s="392">
        <f t="shared" si="15"/>
        <v>2704847.7104494842</v>
      </c>
      <c r="E63" s="392">
        <f t="shared" si="15"/>
        <v>2808462.6064189868</v>
      </c>
      <c r="F63" s="392">
        <f t="shared" si="15"/>
        <v>3153347.6194703667</v>
      </c>
      <c r="G63" s="392">
        <f t="shared" si="15"/>
        <v>3237834.1684116684</v>
      </c>
      <c r="H63" s="392">
        <f t="shared" si="15"/>
        <v>4271238.3108906401</v>
      </c>
      <c r="I63" s="392">
        <f t="shared" si="15"/>
        <v>4377220.4134396827</v>
      </c>
      <c r="J63" s="392">
        <f t="shared" si="15"/>
        <v>5504381.2324728668</v>
      </c>
      <c r="K63" s="392">
        <f t="shared" si="15"/>
        <v>5634075.8759309351</v>
      </c>
      <c r="L63" s="392">
        <f t="shared" si="15"/>
        <v>5818849.1684073824</v>
      </c>
      <c r="M63" s="392">
        <f t="shared" si="15"/>
        <v>6010507.5625901381</v>
      </c>
    </row>
    <row r="65" spans="1:13" x14ac:dyDescent="0.25">
      <c r="A65" s="9" t="s">
        <v>314</v>
      </c>
      <c r="B65" s="285">
        <v>2021</v>
      </c>
      <c r="C65" s="285">
        <v>2022</v>
      </c>
      <c r="D65" s="285">
        <v>2023</v>
      </c>
      <c r="E65" s="285">
        <v>2024</v>
      </c>
      <c r="F65" s="285">
        <v>2025</v>
      </c>
      <c r="G65" s="285">
        <v>2026</v>
      </c>
      <c r="H65" s="285">
        <v>2027</v>
      </c>
      <c r="I65" s="285">
        <v>2028</v>
      </c>
      <c r="J65" s="285">
        <v>2029</v>
      </c>
      <c r="K65" s="285">
        <v>2030</v>
      </c>
      <c r="L65" s="181">
        <v>2031</v>
      </c>
      <c r="M65" s="181">
        <v>2032</v>
      </c>
    </row>
    <row r="66" spans="1:13" x14ac:dyDescent="0.25">
      <c r="A66" s="10" t="s">
        <v>315</v>
      </c>
      <c r="B66" s="377">
        <f t="shared" ref="B66:M66" si="16">SUM(B40:B44)</f>
        <v>2514122.7737487596</v>
      </c>
      <c r="C66" s="377">
        <f t="shared" si="16"/>
        <v>2606781.5692303847</v>
      </c>
      <c r="D66" s="377">
        <f t="shared" si="16"/>
        <v>2704847.7104494842</v>
      </c>
      <c r="E66" s="377">
        <f t="shared" si="16"/>
        <v>2808462.6064189868</v>
      </c>
      <c r="F66" s="377">
        <f t="shared" si="16"/>
        <v>3153347.6194703667</v>
      </c>
      <c r="G66" s="377">
        <f t="shared" si="16"/>
        <v>3237834.1684116684</v>
      </c>
      <c r="H66" s="377">
        <f t="shared" si="16"/>
        <v>4028313.6082172561</v>
      </c>
      <c r="I66" s="377">
        <f t="shared" si="16"/>
        <v>4131714.8864112692</v>
      </c>
      <c r="J66" s="377">
        <f t="shared" si="16"/>
        <v>5256256.6390053183</v>
      </c>
      <c r="K66" s="377">
        <f t="shared" si="16"/>
        <v>5383293.1582586337</v>
      </c>
      <c r="L66" s="377">
        <f t="shared" si="16"/>
        <v>5565138.773451102</v>
      </c>
      <c r="M66" s="377">
        <f t="shared" si="16"/>
        <v>5753909.929683906</v>
      </c>
    </row>
    <row r="67" spans="1:13" ht="15.75" thickBot="1" x14ac:dyDescent="0.3">
      <c r="A67" s="296" t="s">
        <v>316</v>
      </c>
      <c r="B67" s="378">
        <f>SUM(B47:B51)</f>
        <v>0</v>
      </c>
      <c r="C67" s="378">
        <f t="shared" ref="C67:M67" si="17">SUM(C47:C51)</f>
        <v>0</v>
      </c>
      <c r="D67" s="378">
        <f t="shared" si="17"/>
        <v>0</v>
      </c>
      <c r="E67" s="378">
        <f t="shared" si="17"/>
        <v>0</v>
      </c>
      <c r="F67" s="378">
        <f t="shared" si="17"/>
        <v>0</v>
      </c>
      <c r="G67" s="378">
        <f t="shared" si="17"/>
        <v>0</v>
      </c>
      <c r="H67" s="378">
        <f t="shared" si="17"/>
        <v>242924.7026733837</v>
      </c>
      <c r="I67" s="378">
        <f t="shared" si="17"/>
        <v>245505.52702841366</v>
      </c>
      <c r="J67" s="378">
        <f t="shared" si="17"/>
        <v>248124.59346754837</v>
      </c>
      <c r="K67" s="378">
        <f t="shared" si="17"/>
        <v>250782.7176723009</v>
      </c>
      <c r="L67" s="378">
        <f t="shared" si="17"/>
        <v>253710.39495628051</v>
      </c>
      <c r="M67" s="378">
        <f t="shared" si="17"/>
        <v>256597.63290623183</v>
      </c>
    </row>
    <row r="68" spans="1:13" ht="15.75" thickTop="1" x14ac:dyDescent="0.25">
      <c r="A68" s="297" t="s">
        <v>75</v>
      </c>
      <c r="B68" s="392">
        <f t="shared" ref="B68:M68" si="18">SUM(B66:B67)</f>
        <v>2514122.7737487596</v>
      </c>
      <c r="C68" s="392">
        <f t="shared" si="18"/>
        <v>2606781.5692303847</v>
      </c>
      <c r="D68" s="392">
        <f t="shared" si="18"/>
        <v>2704847.7104494842</v>
      </c>
      <c r="E68" s="392">
        <f t="shared" si="18"/>
        <v>2808462.6064189868</v>
      </c>
      <c r="F68" s="392">
        <f t="shared" si="18"/>
        <v>3153347.6194703667</v>
      </c>
      <c r="G68" s="392">
        <f t="shared" si="18"/>
        <v>3237834.1684116684</v>
      </c>
      <c r="H68" s="392">
        <f t="shared" si="18"/>
        <v>4271238.3108906401</v>
      </c>
      <c r="I68" s="392">
        <f t="shared" si="18"/>
        <v>4377220.4134396827</v>
      </c>
      <c r="J68" s="392">
        <f t="shared" si="18"/>
        <v>5504381.2324728668</v>
      </c>
      <c r="K68" s="392">
        <f t="shared" si="18"/>
        <v>5634075.8759309342</v>
      </c>
      <c r="L68" s="392">
        <f t="shared" si="18"/>
        <v>5818849.1684073824</v>
      </c>
      <c r="M68" s="392">
        <f t="shared" si="18"/>
        <v>6010507.5625901381</v>
      </c>
    </row>
  </sheetData>
  <sheetProtection algorithmName="SHA-512" hashValue="LzvoF+4ClOmbf4grxWzwczI8hT+g0PXWnZPs8ggu6IOxx9e80kaBVzQEa+X8l4WozfDU0VKJD85GgWAAdChDCA==" saltValue="z/Eiqq1FQg9COROv+Jcj9A==" spinCount="100000" sheet="1" objects="1" scenarios="1"/>
  <mergeCells count="3">
    <mergeCell ref="B3:E3"/>
    <mergeCell ref="B2:E2"/>
    <mergeCell ref="B1:E1"/>
  </mergeCells>
  <pageMargins left="0.7" right="0.7" top="0.75" bottom="0.75" header="0.3" footer="0.3"/>
  <pageSetup paperSize="5" pageOrder="overThenDown" orientation="landscape" r:id="rId1"/>
  <rowBreaks count="2" manualBreakCount="2">
    <brk id="31" max="16383" man="1"/>
    <brk id="55" max="16383"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rgb="FFCC99FF"/>
  </sheetPr>
  <dimension ref="A1:P50"/>
  <sheetViews>
    <sheetView zoomScaleNormal="100" zoomScaleSheetLayoutView="80" workbookViewId="0">
      <selection activeCell="I16" sqref="I16"/>
    </sheetView>
  </sheetViews>
  <sheetFormatPr defaultColWidth="9.140625" defaultRowHeight="15" x14ac:dyDescent="0.25"/>
  <cols>
    <col min="1" max="1" width="27.5703125" style="573" customWidth="1"/>
    <col min="2" max="2" width="27.28515625" style="573" customWidth="1"/>
    <col min="3" max="16" width="13.5703125" style="573" customWidth="1"/>
    <col min="17" max="16384" width="9.140625" style="573"/>
  </cols>
  <sheetData>
    <row r="1" spans="1:16" ht="18.75" x14ac:dyDescent="0.3">
      <c r="A1" s="2" t="s">
        <v>600</v>
      </c>
      <c r="C1" s="754" t="s">
        <v>386</v>
      </c>
      <c r="D1" s="754"/>
      <c r="E1" s="754"/>
      <c r="F1" s="754"/>
    </row>
    <row r="2" spans="1:16" ht="15.75" x14ac:dyDescent="0.25">
      <c r="A2" s="15" t="s">
        <v>887</v>
      </c>
      <c r="C2" s="1029" t="s">
        <v>374</v>
      </c>
      <c r="D2" s="755"/>
      <c r="E2" s="755"/>
      <c r="F2" s="755"/>
    </row>
    <row r="3" spans="1:16" ht="15.75" x14ac:dyDescent="0.25">
      <c r="A3" s="15"/>
      <c r="C3" s="818" t="s">
        <v>379</v>
      </c>
      <c r="D3" s="818"/>
      <c r="E3" s="818"/>
      <c r="F3" s="818"/>
    </row>
    <row r="4" spans="1:16" ht="15.75" x14ac:dyDescent="0.25">
      <c r="A4" s="15"/>
      <c r="C4" s="815" t="s">
        <v>375</v>
      </c>
      <c r="D4" s="816"/>
      <c r="E4" s="816"/>
      <c r="F4" s="817"/>
    </row>
    <row r="6" spans="1:16" ht="30.75" thickBot="1" x14ac:dyDescent="0.3">
      <c r="A6" s="1030" t="s">
        <v>746</v>
      </c>
      <c r="B6" s="80" t="s">
        <v>610</v>
      </c>
      <c r="C6" s="469">
        <v>2020</v>
      </c>
      <c r="D6" s="469">
        <v>2021</v>
      </c>
      <c r="E6" s="469">
        <v>2022</v>
      </c>
      <c r="F6" s="469">
        <v>2023</v>
      </c>
      <c r="G6" s="469">
        <v>2024</v>
      </c>
      <c r="H6" s="469">
        <v>2025</v>
      </c>
      <c r="I6" s="469">
        <v>2026</v>
      </c>
      <c r="J6" s="469">
        <v>2027</v>
      </c>
      <c r="K6" s="469">
        <v>2028</v>
      </c>
      <c r="L6" s="469">
        <v>2029</v>
      </c>
      <c r="M6" s="469">
        <v>2030</v>
      </c>
      <c r="N6" s="469">
        <v>2031</v>
      </c>
      <c r="O6" s="491">
        <v>2032</v>
      </c>
      <c r="P6" s="492" t="s">
        <v>595</v>
      </c>
    </row>
    <row r="7" spans="1:16" ht="15.75" thickTop="1" x14ac:dyDescent="0.25">
      <c r="A7" s="1031"/>
      <c r="B7" s="597" t="s">
        <v>59</v>
      </c>
      <c r="C7" s="585">
        <f t="shared" ref="C7:O7" si="0">C28+C39+C42+C50</f>
        <v>8092857.3028571419</v>
      </c>
      <c r="D7" s="585">
        <f t="shared" si="0"/>
        <v>8022857.3028571419</v>
      </c>
      <c r="E7" s="585">
        <f t="shared" si="0"/>
        <v>8022857.3028571419</v>
      </c>
      <c r="F7" s="585">
        <f t="shared" si="0"/>
        <v>8052857.3028571419</v>
      </c>
      <c r="G7" s="585">
        <f t="shared" si="0"/>
        <v>27789159.167936221</v>
      </c>
      <c r="H7" s="585">
        <f t="shared" si="0"/>
        <v>27976461.240906447</v>
      </c>
      <c r="I7" s="585">
        <f t="shared" si="0"/>
        <v>28164816.73061914</v>
      </c>
      <c r="J7" s="585">
        <f t="shared" si="0"/>
        <v>21412716.526954398</v>
      </c>
      <c r="K7" s="585">
        <f t="shared" si="0"/>
        <v>21640204.549835376</v>
      </c>
      <c r="L7" s="585">
        <f t="shared" si="0"/>
        <v>21871063.439891748</v>
      </c>
      <c r="M7" s="585">
        <f t="shared" si="0"/>
        <v>22105365.095768746</v>
      </c>
      <c r="N7" s="585">
        <f t="shared" si="0"/>
        <v>22363426.639425535</v>
      </c>
      <c r="O7" s="586">
        <f t="shared" si="0"/>
        <v>22617923.638239592</v>
      </c>
      <c r="P7" s="587">
        <f>SUM(C7:O7)</f>
        <v>248132566.24100578</v>
      </c>
    </row>
    <row r="8" spans="1:16" x14ac:dyDescent="0.25">
      <c r="B8" s="11"/>
    </row>
    <row r="9" spans="1:16" s="3" customFormat="1" x14ac:dyDescent="0.25">
      <c r="A9" s="1027" t="s">
        <v>640</v>
      </c>
      <c r="B9" s="1028"/>
      <c r="C9" s="497">
        <v>2020</v>
      </c>
      <c r="D9" s="497">
        <v>2021</v>
      </c>
      <c r="E9" s="497">
        <v>2022</v>
      </c>
      <c r="F9" s="497">
        <v>2023</v>
      </c>
      <c r="G9" s="497">
        <v>2024</v>
      </c>
      <c r="H9" s="497">
        <v>2025</v>
      </c>
      <c r="I9" s="497">
        <v>2026</v>
      </c>
      <c r="J9" s="497">
        <v>2027</v>
      </c>
      <c r="K9" s="497">
        <v>2028</v>
      </c>
      <c r="L9" s="497">
        <v>2029</v>
      </c>
      <c r="M9" s="497">
        <v>2030</v>
      </c>
      <c r="N9" s="181">
        <v>2031</v>
      </c>
      <c r="O9" s="181">
        <v>2032</v>
      </c>
    </row>
    <row r="10" spans="1:16" x14ac:dyDescent="0.25">
      <c r="A10" s="1026" t="s">
        <v>730</v>
      </c>
      <c r="B10" s="1026"/>
      <c r="C10" s="386"/>
      <c r="D10" s="386"/>
      <c r="E10" s="386"/>
      <c r="F10" s="386"/>
      <c r="G10" s="622">
        <f>SUM('C&amp;C-Tankers'!I52:I57)</f>
        <v>36708846.320861146</v>
      </c>
      <c r="H10" s="622">
        <f>SUM('C&amp;C-Tankers'!J52:J57)</f>
        <v>37000978.742091566</v>
      </c>
      <c r="I10" s="622">
        <f>SUM('C&amp;C-Tankers'!K52:K57)</f>
        <v>37406496.08012943</v>
      </c>
      <c r="J10" s="622">
        <f>SUM('C&amp;C-Tankers'!L52:L57)</f>
        <v>37802278.720719218</v>
      </c>
      <c r="K10" s="622">
        <f>SUM('C&amp;C-Tankers'!M52:M57)</f>
        <v>38203888.933778688</v>
      </c>
      <c r="L10" s="622">
        <f>SUM('C&amp;C-Tankers'!N52:N57)</f>
        <v>38611450.118090875</v>
      </c>
      <c r="M10" s="622">
        <f>SUM('C&amp;C-Tankers'!O52:O57)</f>
        <v>39025089.204427212</v>
      </c>
      <c r="N10" s="622">
        <f>SUM('C&amp;C-Tankers'!P52:P57)</f>
        <v>39480674.295096718</v>
      </c>
      <c r="O10" s="622">
        <f>SUM('C&amp;C-Tankers'!Q52:Q57)</f>
        <v>39929966.493526801</v>
      </c>
      <c r="P10" s="11"/>
    </row>
    <row r="11" spans="1:16" x14ac:dyDescent="0.25">
      <c r="A11" s="1026" t="s">
        <v>731</v>
      </c>
      <c r="B11" s="1026"/>
      <c r="C11" s="386"/>
      <c r="D11" s="386"/>
      <c r="E11" s="386"/>
      <c r="F11" s="386"/>
      <c r="G11" s="377">
        <f>G10*$B$19/($B$19+$B$20)</f>
        <v>19766301.865079079</v>
      </c>
      <c r="H11" s="377">
        <f t="shared" ref="H11:O11" si="1">H10*$B19/($B19+$B20)</f>
        <v>19923603.938049305</v>
      </c>
      <c r="I11" s="377">
        <f t="shared" si="1"/>
        <v>20141959.427761998</v>
      </c>
      <c r="J11" s="377">
        <f t="shared" si="1"/>
        <v>20355073.157310348</v>
      </c>
      <c r="K11" s="377">
        <f t="shared" si="1"/>
        <v>20571324.810496215</v>
      </c>
      <c r="L11" s="377">
        <f t="shared" si="1"/>
        <v>20790780.832818165</v>
      </c>
      <c r="M11" s="377">
        <f t="shared" si="1"/>
        <v>21013509.571614649</v>
      </c>
      <c r="N11" s="377">
        <f t="shared" si="1"/>
        <v>21258824.620436694</v>
      </c>
      <c r="O11" s="377">
        <f t="shared" si="1"/>
        <v>21500751.188822124</v>
      </c>
      <c r="P11" s="11"/>
    </row>
    <row r="12" spans="1:16" x14ac:dyDescent="0.25">
      <c r="A12" s="1026" t="s">
        <v>733</v>
      </c>
      <c r="B12" s="1026"/>
      <c r="C12" s="622">
        <f>'C&amp;C-Tankers'!E63</f>
        <v>928571.42857142852</v>
      </c>
      <c r="D12" s="622">
        <f>'C&amp;C-Tankers'!F63</f>
        <v>928571.42857142852</v>
      </c>
      <c r="E12" s="622">
        <f>'C&amp;C-Tankers'!G63</f>
        <v>928571.42857142852</v>
      </c>
      <c r="F12" s="622">
        <f>'C&amp;C-Tankers'!H63</f>
        <v>928571.42857142852</v>
      </c>
      <c r="G12" s="622">
        <f>'C&amp;C-Tankers'!I63</f>
        <v>928571.42857142852</v>
      </c>
      <c r="H12" s="622">
        <f>'C&amp;C-Tankers'!J63</f>
        <v>928571.42857142852</v>
      </c>
      <c r="I12" s="622">
        <f>'C&amp;C-Tankers'!K63</f>
        <v>928571.42857142852</v>
      </c>
      <c r="J12" s="386"/>
      <c r="K12" s="386"/>
      <c r="L12" s="386"/>
      <c r="M12" s="386"/>
      <c r="N12" s="386"/>
      <c r="O12" s="386"/>
      <c r="P12" s="11"/>
    </row>
    <row r="13" spans="1:16" x14ac:dyDescent="0.25">
      <c r="A13" s="1026" t="s">
        <v>736</v>
      </c>
      <c r="B13" s="1026"/>
      <c r="C13" s="377">
        <f>C12*$B$19/($B$19+$B$20)</f>
        <v>500000</v>
      </c>
      <c r="D13" s="377">
        <f t="shared" ref="D13:I13" si="2">D12*$B$19/($B$19+$B$20)</f>
        <v>500000</v>
      </c>
      <c r="E13" s="377">
        <f t="shared" si="2"/>
        <v>500000</v>
      </c>
      <c r="F13" s="377">
        <f t="shared" si="2"/>
        <v>500000</v>
      </c>
      <c r="G13" s="377">
        <f t="shared" si="2"/>
        <v>500000</v>
      </c>
      <c r="H13" s="377">
        <f t="shared" si="2"/>
        <v>500000</v>
      </c>
      <c r="I13" s="377">
        <f t="shared" si="2"/>
        <v>500000</v>
      </c>
      <c r="J13" s="386"/>
      <c r="K13" s="386"/>
      <c r="L13" s="386"/>
      <c r="M13" s="386"/>
      <c r="N13" s="386"/>
      <c r="O13" s="386"/>
      <c r="P13" s="11"/>
    </row>
    <row r="14" spans="1:16" x14ac:dyDescent="0.25">
      <c r="A14" s="1026" t="s">
        <v>732</v>
      </c>
      <c r="B14" s="1026"/>
      <c r="C14" s="622">
        <f>'C&amp;C-Tankers'!E64</f>
        <v>10478265.52897959</v>
      </c>
      <c r="D14" s="622">
        <f>'C&amp;C-Tankers'!F64</f>
        <v>10478265.52897959</v>
      </c>
      <c r="E14" s="622">
        <f>'C&amp;C-Tankers'!G64</f>
        <v>10478265.52897959</v>
      </c>
      <c r="F14" s="622">
        <f>'C&amp;C-Tankers'!H64</f>
        <v>10478265.52897959</v>
      </c>
      <c r="G14" s="622">
        <f>'C&amp;C-Tankers'!I64</f>
        <v>10478265.52897959</v>
      </c>
      <c r="H14" s="622">
        <f>'C&amp;C-Tankers'!J64</f>
        <v>10478265.52897959</v>
      </c>
      <c r="I14" s="622">
        <f>'C&amp;C-Tankers'!K64</f>
        <v>10478265.52897959</v>
      </c>
      <c r="J14" s="386"/>
      <c r="K14" s="386"/>
      <c r="L14" s="386"/>
      <c r="M14" s="386"/>
      <c r="N14" s="386"/>
      <c r="O14" s="386"/>
      <c r="P14" s="11"/>
    </row>
    <row r="15" spans="1:16" x14ac:dyDescent="0.25">
      <c r="A15" s="1026" t="s">
        <v>737</v>
      </c>
      <c r="B15" s="1026"/>
      <c r="C15" s="377">
        <f>C14*$B$19/($B$19+$B$20)</f>
        <v>5642142.9771428565</v>
      </c>
      <c r="D15" s="377">
        <f t="shared" ref="D15" si="3">D14*$B$19/($B$19+$B$20)</f>
        <v>5642142.9771428565</v>
      </c>
      <c r="E15" s="377">
        <f t="shared" ref="E15" si="4">E14*$B$19/($B$19+$B$20)</f>
        <v>5642142.9771428565</v>
      </c>
      <c r="F15" s="377">
        <f t="shared" ref="F15" si="5">F14*$B$19/($B$19+$B$20)</f>
        <v>5642142.9771428565</v>
      </c>
      <c r="G15" s="377">
        <f t="shared" ref="G15" si="6">G14*$B$19/($B$19+$B$20)</f>
        <v>5642142.9771428565</v>
      </c>
      <c r="H15" s="377">
        <f t="shared" ref="H15" si="7">H14*$B$19/($B$19+$B$20)</f>
        <v>5642142.9771428565</v>
      </c>
      <c r="I15" s="377">
        <f t="shared" ref="I15" si="8">I14*$B$19/($B$19+$B$20)</f>
        <v>5642142.9771428565</v>
      </c>
      <c r="J15" s="386"/>
      <c r="K15" s="386"/>
      <c r="L15" s="386"/>
      <c r="M15" s="386"/>
      <c r="N15" s="386"/>
      <c r="O15" s="386"/>
      <c r="P15" s="11"/>
    </row>
    <row r="16" spans="1:16" x14ac:dyDescent="0.25">
      <c r="A16" s="1026" t="s">
        <v>734</v>
      </c>
      <c r="B16" s="1026"/>
      <c r="C16" s="622">
        <f>'C&amp;C-Tankers'!E65</f>
        <v>3492755.176326531</v>
      </c>
      <c r="D16" s="622">
        <f>'C&amp;C-Tankers'!F65</f>
        <v>3492755.176326531</v>
      </c>
      <c r="E16" s="622">
        <f>'C&amp;C-Tankers'!G65</f>
        <v>3492755.176326531</v>
      </c>
      <c r="F16" s="622">
        <f>'C&amp;C-Tankers'!H65</f>
        <v>3492755.176326531</v>
      </c>
      <c r="G16" s="622">
        <f>'C&amp;C-Tankers'!I65</f>
        <v>3492755.176326531</v>
      </c>
      <c r="H16" s="622">
        <f>'C&amp;C-Tankers'!J65</f>
        <v>3492755.176326531</v>
      </c>
      <c r="I16" s="622">
        <f>'C&amp;C-Tankers'!K65</f>
        <v>3492755.176326531</v>
      </c>
      <c r="J16" s="386"/>
      <c r="K16" s="386"/>
      <c r="L16" s="386"/>
      <c r="M16" s="386"/>
      <c r="N16" s="386"/>
      <c r="O16" s="386"/>
      <c r="P16" s="11"/>
    </row>
    <row r="17" spans="1:16" x14ac:dyDescent="0.25">
      <c r="A17" s="1026" t="s">
        <v>735</v>
      </c>
      <c r="B17" s="1026"/>
      <c r="C17" s="377">
        <f>C16*$B$19/($B$19+$B$20)</f>
        <v>1880714.325714286</v>
      </c>
      <c r="D17" s="377">
        <f t="shared" ref="D17" si="9">D16*$B$19/($B$19+$B$20)</f>
        <v>1880714.325714286</v>
      </c>
      <c r="E17" s="377">
        <f t="shared" ref="E17" si="10">E16*$B$19/($B$19+$B$20)</f>
        <v>1880714.325714286</v>
      </c>
      <c r="F17" s="377">
        <f t="shared" ref="F17" si="11">F16*$B$19/($B$19+$B$20)</f>
        <v>1880714.325714286</v>
      </c>
      <c r="G17" s="377">
        <f t="shared" ref="G17" si="12">G16*$B$19/($B$19+$B$20)</f>
        <v>1880714.325714286</v>
      </c>
      <c r="H17" s="377">
        <f t="shared" ref="H17" si="13">H16*$B$19/($B$19+$B$20)</f>
        <v>1880714.325714286</v>
      </c>
      <c r="I17" s="377">
        <f t="shared" ref="I17" si="14">I16*$B$19/($B$19+$B$20)</f>
        <v>1880714.325714286</v>
      </c>
      <c r="J17" s="386"/>
      <c r="K17" s="386"/>
      <c r="L17" s="386"/>
      <c r="M17" s="386"/>
      <c r="N17" s="386"/>
      <c r="O17" s="386"/>
      <c r="P17" s="11"/>
    </row>
    <row r="19" spans="1:16" x14ac:dyDescent="0.25">
      <c r="A19" s="574" t="s">
        <v>740</v>
      </c>
      <c r="B19" s="575">
        <f>'Berths, Terminals, Vessels'!C78</f>
        <v>7</v>
      </c>
      <c r="D19" s="1025" t="s">
        <v>744</v>
      </c>
      <c r="E19" s="1025"/>
      <c r="F19" s="1025"/>
      <c r="G19" s="575">
        <f>'Berths, Terminals, Vessels'!B14</f>
        <v>6</v>
      </c>
    </row>
    <row r="20" spans="1:16" x14ac:dyDescent="0.25">
      <c r="A20" s="574" t="s">
        <v>741</v>
      </c>
      <c r="B20" s="575">
        <f>'Berths, Terminals, Vessels'!C79</f>
        <v>6</v>
      </c>
      <c r="D20" s="1025" t="s">
        <v>743</v>
      </c>
      <c r="E20" s="1025"/>
      <c r="F20" s="1025"/>
      <c r="G20" s="575">
        <f>'Berths, Terminals, Vessels'!B42</f>
        <v>1</v>
      </c>
    </row>
    <row r="21" spans="1:16" x14ac:dyDescent="0.25">
      <c r="A21" s="574" t="s">
        <v>742</v>
      </c>
      <c r="B21" s="575">
        <f>'Berths, Terminals, Vessels'!B78</f>
        <v>3</v>
      </c>
      <c r="D21" s="1025" t="s">
        <v>885</v>
      </c>
      <c r="E21" s="1025"/>
      <c r="F21" s="1025"/>
      <c r="G21" s="575">
        <f>'Berths, Terminals, Vessels'!B59</f>
        <v>3</v>
      </c>
    </row>
    <row r="23" spans="1:16" x14ac:dyDescent="0.25">
      <c r="A23" s="1025" t="s">
        <v>745</v>
      </c>
      <c r="B23" s="1025"/>
      <c r="C23" s="594">
        <f>'Cost Inputs'!C144</f>
        <v>10000</v>
      </c>
    </row>
    <row r="25" spans="1:16" ht="30.75" thickBot="1" x14ac:dyDescent="0.3">
      <c r="A25" s="469" t="s">
        <v>820</v>
      </c>
      <c r="B25" s="80" t="s">
        <v>729</v>
      </c>
      <c r="C25" s="469">
        <v>2020</v>
      </c>
      <c r="D25" s="469">
        <v>2021</v>
      </c>
      <c r="E25" s="469">
        <v>2022</v>
      </c>
      <c r="F25" s="469">
        <v>2023</v>
      </c>
      <c r="G25" s="469">
        <v>2024</v>
      </c>
      <c r="H25" s="469">
        <v>2025</v>
      </c>
      <c r="I25" s="469">
        <v>2026</v>
      </c>
      <c r="J25" s="469">
        <v>2027</v>
      </c>
      <c r="K25" s="469">
        <v>2028</v>
      </c>
      <c r="L25" s="469">
        <v>2029</v>
      </c>
      <c r="M25" s="469">
        <v>2030</v>
      </c>
      <c r="N25" s="469">
        <v>2031</v>
      </c>
      <c r="O25" s="491">
        <v>2032</v>
      </c>
      <c r="P25" s="492" t="s">
        <v>595</v>
      </c>
    </row>
    <row r="26" spans="1:16" ht="16.5" thickTop="1" thickBot="1" x14ac:dyDescent="0.3">
      <c r="A26" s="572" t="s">
        <v>596</v>
      </c>
      <c r="B26" s="468" t="s">
        <v>59</v>
      </c>
      <c r="C26" s="576">
        <v>0</v>
      </c>
      <c r="D26" s="576">
        <v>0</v>
      </c>
      <c r="E26" s="576">
        <v>0</v>
      </c>
      <c r="F26" s="576">
        <v>0</v>
      </c>
      <c r="G26" s="576">
        <v>0</v>
      </c>
      <c r="H26" s="576">
        <v>0</v>
      </c>
      <c r="I26" s="576">
        <v>0</v>
      </c>
      <c r="J26" s="576">
        <v>0</v>
      </c>
      <c r="K26" s="576">
        <v>0</v>
      </c>
      <c r="L26" s="576">
        <v>0</v>
      </c>
      <c r="M26" s="576">
        <v>0</v>
      </c>
      <c r="N26" s="576">
        <v>0</v>
      </c>
      <c r="O26" s="576">
        <v>0</v>
      </c>
      <c r="P26" s="577">
        <f t="shared" ref="P26:P27" si="15">SUM(C26:O26)</f>
        <v>0</v>
      </c>
    </row>
    <row r="27" spans="1:16" ht="15.75" hidden="1" thickBot="1" x14ac:dyDescent="0.3">
      <c r="A27" s="581" t="s">
        <v>598</v>
      </c>
      <c r="B27" s="581" t="s">
        <v>35</v>
      </c>
      <c r="C27" s="582"/>
      <c r="D27" s="582"/>
      <c r="E27" s="582"/>
      <c r="F27" s="582"/>
      <c r="G27" s="582"/>
      <c r="H27" s="582"/>
      <c r="I27" s="582"/>
      <c r="J27" s="582"/>
      <c r="K27" s="582"/>
      <c r="L27" s="582"/>
      <c r="M27" s="582"/>
      <c r="N27" s="582"/>
      <c r="O27" s="583"/>
      <c r="P27" s="584">
        <f t="shared" si="15"/>
        <v>0</v>
      </c>
    </row>
    <row r="28" spans="1:16" ht="15.75" thickTop="1" x14ac:dyDescent="0.25">
      <c r="A28" s="489" t="s">
        <v>599</v>
      </c>
      <c r="B28" s="489"/>
      <c r="C28" s="585">
        <f t="shared" ref="C28:P28" si="16">SUM(C26:C27)</f>
        <v>0</v>
      </c>
      <c r="D28" s="585">
        <f t="shared" si="16"/>
        <v>0</v>
      </c>
      <c r="E28" s="585">
        <f t="shared" si="16"/>
        <v>0</v>
      </c>
      <c r="F28" s="585">
        <f t="shared" si="16"/>
        <v>0</v>
      </c>
      <c r="G28" s="585">
        <f t="shared" si="16"/>
        <v>0</v>
      </c>
      <c r="H28" s="585">
        <f t="shared" si="16"/>
        <v>0</v>
      </c>
      <c r="I28" s="585">
        <f t="shared" si="16"/>
        <v>0</v>
      </c>
      <c r="J28" s="585">
        <f t="shared" si="16"/>
        <v>0</v>
      </c>
      <c r="K28" s="585">
        <f t="shared" si="16"/>
        <v>0</v>
      </c>
      <c r="L28" s="585">
        <f t="shared" si="16"/>
        <v>0</v>
      </c>
      <c r="M28" s="585">
        <f t="shared" si="16"/>
        <v>0</v>
      </c>
      <c r="N28" s="585">
        <f t="shared" si="16"/>
        <v>0</v>
      </c>
      <c r="O28" s="586">
        <f t="shared" si="16"/>
        <v>0</v>
      </c>
      <c r="P28" s="587">
        <f t="shared" si="16"/>
        <v>0</v>
      </c>
    </row>
    <row r="30" spans="1:16" ht="30.75" thickBot="1" x14ac:dyDescent="0.3">
      <c r="A30" s="490" t="s">
        <v>747</v>
      </c>
      <c r="B30" s="80" t="s">
        <v>729</v>
      </c>
      <c r="C30" s="469">
        <v>2020</v>
      </c>
      <c r="D30" s="469">
        <v>2021</v>
      </c>
      <c r="E30" s="469">
        <v>2022</v>
      </c>
      <c r="F30" s="469">
        <v>2023</v>
      </c>
      <c r="G30" s="469">
        <v>2024</v>
      </c>
      <c r="H30" s="469">
        <v>2025</v>
      </c>
      <c r="I30" s="469">
        <v>2026</v>
      </c>
      <c r="J30" s="469">
        <v>2027</v>
      </c>
      <c r="K30" s="469">
        <v>2028</v>
      </c>
      <c r="L30" s="469">
        <v>2029</v>
      </c>
      <c r="M30" s="469">
        <v>2030</v>
      </c>
      <c r="N30" s="469">
        <v>2031</v>
      </c>
      <c r="O30" s="469">
        <v>2032</v>
      </c>
      <c r="P30" s="492" t="s">
        <v>595</v>
      </c>
    </row>
    <row r="31" spans="1:16" ht="15.75" thickTop="1" x14ac:dyDescent="0.25">
      <c r="A31" s="572" t="s">
        <v>602</v>
      </c>
      <c r="B31" s="468" t="s">
        <v>59</v>
      </c>
      <c r="C31" s="589">
        <f t="shared" ref="C31:O31" si="17">C11</f>
        <v>0</v>
      </c>
      <c r="D31" s="589">
        <f t="shared" si="17"/>
        <v>0</v>
      </c>
      <c r="E31" s="589">
        <f t="shared" si="17"/>
        <v>0</v>
      </c>
      <c r="F31" s="589">
        <f t="shared" si="17"/>
        <v>0</v>
      </c>
      <c r="G31" s="589">
        <f t="shared" si="17"/>
        <v>19766301.865079079</v>
      </c>
      <c r="H31" s="589">
        <f t="shared" si="17"/>
        <v>19923603.938049305</v>
      </c>
      <c r="I31" s="589">
        <f t="shared" si="17"/>
        <v>20141959.427761998</v>
      </c>
      <c r="J31" s="589">
        <f t="shared" si="17"/>
        <v>20355073.157310348</v>
      </c>
      <c r="K31" s="589">
        <f t="shared" si="17"/>
        <v>20571324.810496215</v>
      </c>
      <c r="L31" s="589">
        <f t="shared" si="17"/>
        <v>20790780.832818165</v>
      </c>
      <c r="M31" s="589">
        <f t="shared" si="17"/>
        <v>21013509.571614649</v>
      </c>
      <c r="N31" s="589">
        <f t="shared" si="17"/>
        <v>21258824.620436694</v>
      </c>
      <c r="O31" s="589">
        <f t="shared" si="17"/>
        <v>21500751.188822124</v>
      </c>
      <c r="P31" s="577">
        <f t="shared" ref="P31:P38" si="18">SUM(C31:O31)</f>
        <v>185322129.41238856</v>
      </c>
    </row>
    <row r="32" spans="1:16" hidden="1" x14ac:dyDescent="0.25">
      <c r="A32" s="574" t="s">
        <v>603</v>
      </c>
      <c r="B32" s="468" t="s">
        <v>35</v>
      </c>
      <c r="C32" s="589"/>
      <c r="D32" s="589"/>
      <c r="E32" s="589"/>
      <c r="F32" s="589"/>
      <c r="G32" s="589"/>
      <c r="H32" s="589"/>
      <c r="I32" s="589"/>
      <c r="J32" s="589"/>
      <c r="K32" s="589"/>
      <c r="L32" s="589"/>
      <c r="M32" s="589"/>
      <c r="N32" s="589"/>
      <c r="O32" s="590"/>
      <c r="P32" s="577">
        <f t="shared" si="18"/>
        <v>0</v>
      </c>
    </row>
    <row r="33" spans="1:16" hidden="1" x14ac:dyDescent="0.25">
      <c r="A33" s="574" t="s">
        <v>604</v>
      </c>
      <c r="B33" s="468" t="s">
        <v>35</v>
      </c>
      <c r="C33" s="589"/>
      <c r="D33" s="589"/>
      <c r="E33" s="589"/>
      <c r="F33" s="589"/>
      <c r="G33" s="589"/>
      <c r="H33" s="589"/>
      <c r="I33" s="589"/>
      <c r="J33" s="589"/>
      <c r="K33" s="589"/>
      <c r="L33" s="589"/>
      <c r="M33" s="589"/>
      <c r="N33" s="589"/>
      <c r="O33" s="590"/>
      <c r="P33" s="577">
        <f t="shared" si="18"/>
        <v>0</v>
      </c>
    </row>
    <row r="34" spans="1:16" hidden="1" x14ac:dyDescent="0.25">
      <c r="A34" s="574" t="s">
        <v>597</v>
      </c>
      <c r="B34" s="468" t="s">
        <v>35</v>
      </c>
      <c r="C34" s="589"/>
      <c r="D34" s="589"/>
      <c r="E34" s="589"/>
      <c r="F34" s="589"/>
      <c r="G34" s="589"/>
      <c r="H34" s="589"/>
      <c r="I34" s="589"/>
      <c r="J34" s="589"/>
      <c r="K34" s="589"/>
      <c r="L34" s="589"/>
      <c r="M34" s="589"/>
      <c r="N34" s="589"/>
      <c r="O34" s="590"/>
      <c r="P34" s="577">
        <f t="shared" si="18"/>
        <v>0</v>
      </c>
    </row>
    <row r="35" spans="1:16" x14ac:dyDescent="0.25">
      <c r="A35" s="614" t="s">
        <v>611</v>
      </c>
      <c r="B35" s="468" t="s">
        <v>59</v>
      </c>
      <c r="C35" s="589">
        <f>'C&amp;C-Tankers'!E61</f>
        <v>0</v>
      </c>
      <c r="D35" s="589">
        <f>'C&amp;C-Tankers'!F61</f>
        <v>0</v>
      </c>
      <c r="E35" s="589">
        <f>'C&amp;C-Tankers'!G61</f>
        <v>0</v>
      </c>
      <c r="F35" s="589">
        <f>'C&amp;C-Tankers'!H61</f>
        <v>0</v>
      </c>
      <c r="G35" s="589">
        <f>'C&amp;C-Tankers'!I61</f>
        <v>0</v>
      </c>
      <c r="H35" s="589">
        <f>'C&amp;C-Tankers'!J61</f>
        <v>0</v>
      </c>
      <c r="I35" s="589">
        <f>'C&amp;C-Tankers'!K61</f>
        <v>0</v>
      </c>
      <c r="J35" s="589">
        <f>'C&amp;C-Tankers'!L61</f>
        <v>1057643.3696440514</v>
      </c>
      <c r="K35" s="589">
        <f>'C&amp;C-Tankers'!M61</f>
        <v>1068879.7393391635</v>
      </c>
      <c r="L35" s="589">
        <f>'C&amp;C-Tankers'!N61</f>
        <v>1080282.6070735843</v>
      </c>
      <c r="M35" s="589">
        <f>'C&amp;C-Tankers'!O61</f>
        <v>1091855.5241540954</v>
      </c>
      <c r="N35" s="589">
        <f>'C&amp;C-Tankers'!P61</f>
        <v>1104602.0189888417</v>
      </c>
      <c r="O35" s="589">
        <f>'C&amp;C-Tankers'!Q61</f>
        <v>1117172.4494174689</v>
      </c>
      <c r="P35" s="577">
        <f t="shared" si="18"/>
        <v>6520435.7086172057</v>
      </c>
    </row>
    <row r="36" spans="1:16" x14ac:dyDescent="0.25">
      <c r="A36" s="574" t="s">
        <v>601</v>
      </c>
      <c r="B36" s="468" t="s">
        <v>59</v>
      </c>
      <c r="C36" s="589">
        <f t="shared" ref="C36:O36" si="19">C13</f>
        <v>500000</v>
      </c>
      <c r="D36" s="589">
        <f t="shared" si="19"/>
        <v>500000</v>
      </c>
      <c r="E36" s="589">
        <f t="shared" si="19"/>
        <v>500000</v>
      </c>
      <c r="F36" s="589">
        <f t="shared" si="19"/>
        <v>500000</v>
      </c>
      <c r="G36" s="589">
        <f t="shared" si="19"/>
        <v>500000</v>
      </c>
      <c r="H36" s="589">
        <f t="shared" si="19"/>
        <v>500000</v>
      </c>
      <c r="I36" s="589">
        <f t="shared" si="19"/>
        <v>500000</v>
      </c>
      <c r="J36" s="589">
        <f t="shared" si="19"/>
        <v>0</v>
      </c>
      <c r="K36" s="589">
        <f t="shared" si="19"/>
        <v>0</v>
      </c>
      <c r="L36" s="589">
        <f t="shared" si="19"/>
        <v>0</v>
      </c>
      <c r="M36" s="589">
        <f t="shared" si="19"/>
        <v>0</v>
      </c>
      <c r="N36" s="589">
        <f t="shared" si="19"/>
        <v>0</v>
      </c>
      <c r="O36" s="589">
        <f t="shared" si="19"/>
        <v>0</v>
      </c>
      <c r="P36" s="577">
        <f t="shared" si="18"/>
        <v>3500000</v>
      </c>
    </row>
    <row r="37" spans="1:16" x14ac:dyDescent="0.25">
      <c r="A37" s="574" t="s">
        <v>738</v>
      </c>
      <c r="B37" s="617" t="s">
        <v>59</v>
      </c>
      <c r="C37" s="593">
        <f t="shared" ref="C37:O37" si="20">C15</f>
        <v>5642142.9771428565</v>
      </c>
      <c r="D37" s="593">
        <f t="shared" si="20"/>
        <v>5642142.9771428565</v>
      </c>
      <c r="E37" s="593">
        <f t="shared" si="20"/>
        <v>5642142.9771428565</v>
      </c>
      <c r="F37" s="593">
        <f t="shared" si="20"/>
        <v>5642142.9771428565</v>
      </c>
      <c r="G37" s="593">
        <f t="shared" si="20"/>
        <v>5642142.9771428565</v>
      </c>
      <c r="H37" s="593">
        <f t="shared" si="20"/>
        <v>5642142.9771428565</v>
      </c>
      <c r="I37" s="593">
        <f t="shared" si="20"/>
        <v>5642142.9771428565</v>
      </c>
      <c r="J37" s="593">
        <f t="shared" si="20"/>
        <v>0</v>
      </c>
      <c r="K37" s="593">
        <f t="shared" si="20"/>
        <v>0</v>
      </c>
      <c r="L37" s="593">
        <f t="shared" si="20"/>
        <v>0</v>
      </c>
      <c r="M37" s="593">
        <f t="shared" si="20"/>
        <v>0</v>
      </c>
      <c r="N37" s="593">
        <f t="shared" si="20"/>
        <v>0</v>
      </c>
      <c r="O37" s="593">
        <f t="shared" si="20"/>
        <v>0</v>
      </c>
      <c r="P37" s="577">
        <f t="shared" si="18"/>
        <v>39495000.839999996</v>
      </c>
    </row>
    <row r="38" spans="1:16" ht="15.75" thickBot="1" x14ac:dyDescent="0.3">
      <c r="A38" s="574" t="s">
        <v>739</v>
      </c>
      <c r="B38" s="618" t="s">
        <v>59</v>
      </c>
      <c r="C38" s="582">
        <f t="shared" ref="C38:O38" si="21">C17</f>
        <v>1880714.325714286</v>
      </c>
      <c r="D38" s="582">
        <f t="shared" si="21"/>
        <v>1880714.325714286</v>
      </c>
      <c r="E38" s="582">
        <f t="shared" si="21"/>
        <v>1880714.325714286</v>
      </c>
      <c r="F38" s="582">
        <f t="shared" si="21"/>
        <v>1880714.325714286</v>
      </c>
      <c r="G38" s="582">
        <f t="shared" si="21"/>
        <v>1880714.325714286</v>
      </c>
      <c r="H38" s="582">
        <f t="shared" si="21"/>
        <v>1880714.325714286</v>
      </c>
      <c r="I38" s="582">
        <f t="shared" si="21"/>
        <v>1880714.325714286</v>
      </c>
      <c r="J38" s="582">
        <f t="shared" si="21"/>
        <v>0</v>
      </c>
      <c r="K38" s="582">
        <f t="shared" si="21"/>
        <v>0</v>
      </c>
      <c r="L38" s="582">
        <f t="shared" si="21"/>
        <v>0</v>
      </c>
      <c r="M38" s="582">
        <f t="shared" si="21"/>
        <v>0</v>
      </c>
      <c r="N38" s="582">
        <f t="shared" si="21"/>
        <v>0</v>
      </c>
      <c r="O38" s="582">
        <f t="shared" si="21"/>
        <v>0</v>
      </c>
      <c r="P38" s="584">
        <f t="shared" si="18"/>
        <v>13165000.280000003</v>
      </c>
    </row>
    <row r="39" spans="1:16" ht="15.75" thickTop="1" x14ac:dyDescent="0.25">
      <c r="A39" s="489" t="s">
        <v>8</v>
      </c>
      <c r="B39" s="489"/>
      <c r="C39" s="585">
        <f>SUM(C31:C38)</f>
        <v>8022857.3028571419</v>
      </c>
      <c r="D39" s="585">
        <f t="shared" ref="D39:P39" si="22">SUM(D31:D38)</f>
        <v>8022857.3028571419</v>
      </c>
      <c r="E39" s="585">
        <f t="shared" si="22"/>
        <v>8022857.3028571419</v>
      </c>
      <c r="F39" s="585">
        <f t="shared" si="22"/>
        <v>8022857.3028571419</v>
      </c>
      <c r="G39" s="585">
        <f t="shared" si="22"/>
        <v>27789159.167936221</v>
      </c>
      <c r="H39" s="585">
        <f t="shared" si="22"/>
        <v>27946461.240906447</v>
      </c>
      <c r="I39" s="585">
        <f t="shared" si="22"/>
        <v>28164816.73061914</v>
      </c>
      <c r="J39" s="585">
        <f t="shared" si="22"/>
        <v>21412716.526954398</v>
      </c>
      <c r="K39" s="585">
        <f t="shared" si="22"/>
        <v>21640204.549835376</v>
      </c>
      <c r="L39" s="585">
        <f t="shared" si="22"/>
        <v>21871063.439891748</v>
      </c>
      <c r="M39" s="585">
        <f t="shared" si="22"/>
        <v>22105365.095768746</v>
      </c>
      <c r="N39" s="585">
        <f t="shared" si="22"/>
        <v>22363426.639425535</v>
      </c>
      <c r="O39" s="586">
        <f t="shared" si="22"/>
        <v>22617923.638239592</v>
      </c>
      <c r="P39" s="587">
        <f t="shared" si="22"/>
        <v>248002566.24100578</v>
      </c>
    </row>
    <row r="40" spans="1:16" x14ac:dyDescent="0.25">
      <c r="A40" s="493"/>
      <c r="B40" s="493"/>
      <c r="C40" s="588"/>
      <c r="D40" s="588"/>
      <c r="E40" s="588"/>
      <c r="F40" s="588"/>
      <c r="G40" s="588"/>
      <c r="H40" s="588"/>
      <c r="I40" s="588"/>
      <c r="J40" s="588"/>
      <c r="K40" s="588"/>
      <c r="L40" s="588"/>
      <c r="M40" s="588"/>
      <c r="N40" s="588"/>
      <c r="O40" s="588"/>
      <c r="P40" s="588"/>
    </row>
    <row r="41" spans="1:16" ht="30.75" thickBot="1" x14ac:dyDescent="0.3">
      <c r="A41" s="490" t="s">
        <v>886</v>
      </c>
      <c r="B41" s="80" t="s">
        <v>729</v>
      </c>
      <c r="C41" s="469">
        <v>2020</v>
      </c>
      <c r="D41" s="469">
        <v>2021</v>
      </c>
      <c r="E41" s="469">
        <v>2022</v>
      </c>
      <c r="F41" s="469">
        <v>2023</v>
      </c>
      <c r="G41" s="469">
        <v>2024</v>
      </c>
      <c r="H41" s="469">
        <v>2025</v>
      </c>
      <c r="I41" s="469">
        <v>2026</v>
      </c>
      <c r="J41" s="469">
        <v>2027</v>
      </c>
      <c r="K41" s="469">
        <v>2028</v>
      </c>
      <c r="L41" s="469">
        <v>2029</v>
      </c>
      <c r="M41" s="469">
        <v>2030</v>
      </c>
      <c r="N41" s="469">
        <v>2031</v>
      </c>
      <c r="O41" s="469">
        <v>2032</v>
      </c>
      <c r="P41" s="492" t="s">
        <v>595</v>
      </c>
    </row>
    <row r="42" spans="1:16" ht="15.75" thickTop="1" x14ac:dyDescent="0.25">
      <c r="A42" s="572" t="s">
        <v>602</v>
      </c>
      <c r="B42" s="468" t="s">
        <v>59</v>
      </c>
      <c r="C42" s="576">
        <v>0</v>
      </c>
      <c r="D42" s="576">
        <v>0</v>
      </c>
      <c r="E42" s="576">
        <v>0</v>
      </c>
      <c r="F42" s="576">
        <v>0</v>
      </c>
      <c r="G42" s="576">
        <v>0</v>
      </c>
      <c r="H42" s="576">
        <v>0</v>
      </c>
      <c r="I42" s="576">
        <v>0</v>
      </c>
      <c r="J42" s="576">
        <v>0</v>
      </c>
      <c r="K42" s="576">
        <v>0</v>
      </c>
      <c r="L42" s="576">
        <v>0</v>
      </c>
      <c r="M42" s="576">
        <v>0</v>
      </c>
      <c r="N42" s="576">
        <v>0</v>
      </c>
      <c r="O42" s="576">
        <v>0</v>
      </c>
      <c r="P42" s="577">
        <f t="shared" ref="P42" si="23">SUM(C42:O42)</f>
        <v>0</v>
      </c>
    </row>
    <row r="43" spans="1:16" ht="15" customHeight="1" x14ac:dyDescent="0.25">
      <c r="A43" s="623" t="s">
        <v>819</v>
      </c>
      <c r="B43" s="191"/>
      <c r="C43" s="191"/>
      <c r="D43" s="191"/>
      <c r="E43" s="191"/>
      <c r="F43" s="191"/>
      <c r="G43" s="191"/>
      <c r="H43" s="191"/>
      <c r="I43" s="191"/>
      <c r="J43" s="191"/>
      <c r="K43" s="191"/>
      <c r="L43" s="191"/>
      <c r="M43" s="191"/>
      <c r="N43" s="191"/>
      <c r="O43" s="191"/>
      <c r="P43" s="191"/>
    </row>
    <row r="45" spans="1:16" ht="30.75" thickBot="1" x14ac:dyDescent="0.3">
      <c r="A45" s="490" t="s">
        <v>605</v>
      </c>
      <c r="B45" s="469" t="s">
        <v>610</v>
      </c>
      <c r="C45" s="469">
        <v>2020</v>
      </c>
      <c r="D45" s="469">
        <v>2021</v>
      </c>
      <c r="E45" s="469">
        <v>2022</v>
      </c>
      <c r="F45" s="469">
        <v>2023</v>
      </c>
      <c r="G45" s="469">
        <v>2024</v>
      </c>
      <c r="H45" s="469">
        <v>2025</v>
      </c>
      <c r="I45" s="469">
        <v>2026</v>
      </c>
      <c r="J45" s="469">
        <v>2027</v>
      </c>
      <c r="K45" s="469">
        <v>2028</v>
      </c>
      <c r="L45" s="469">
        <v>2029</v>
      </c>
      <c r="M45" s="469">
        <v>2030</v>
      </c>
      <c r="N45" s="469">
        <v>2031</v>
      </c>
      <c r="O45" s="469">
        <v>2032</v>
      </c>
      <c r="P45" s="492" t="s">
        <v>595</v>
      </c>
    </row>
    <row r="46" spans="1:16" ht="16.5" thickTop="1" thickBot="1" x14ac:dyDescent="0.3">
      <c r="A46" s="572" t="s">
        <v>606</v>
      </c>
      <c r="B46" s="572" t="s">
        <v>59</v>
      </c>
      <c r="C46" s="589">
        <f>G19*C23+G20*C23</f>
        <v>70000</v>
      </c>
      <c r="D46" s="595"/>
      <c r="E46" s="595"/>
      <c r="F46" s="589">
        <f>G21*C23</f>
        <v>30000</v>
      </c>
      <c r="G46" s="595"/>
      <c r="H46" s="589">
        <f>B21*C23</f>
        <v>30000</v>
      </c>
      <c r="I46" s="595"/>
      <c r="J46" s="595"/>
      <c r="K46" s="595"/>
      <c r="L46" s="595"/>
      <c r="M46" s="595"/>
      <c r="N46" s="595"/>
      <c r="O46" s="595"/>
      <c r="P46" s="577">
        <f t="shared" ref="P46:P49" si="24">SUM(C46:O46)</f>
        <v>130000</v>
      </c>
    </row>
    <row r="47" spans="1:16" hidden="1" x14ac:dyDescent="0.25">
      <c r="A47" s="574" t="s">
        <v>607</v>
      </c>
      <c r="B47" s="572" t="s">
        <v>35</v>
      </c>
      <c r="C47" s="589"/>
      <c r="D47" s="589"/>
      <c r="E47" s="589"/>
      <c r="F47" s="589"/>
      <c r="G47" s="589"/>
      <c r="H47" s="589"/>
      <c r="I47" s="589"/>
      <c r="J47" s="589"/>
      <c r="K47" s="589"/>
      <c r="L47" s="589"/>
      <c r="M47" s="589"/>
      <c r="N47" s="589"/>
      <c r="O47" s="590"/>
      <c r="P47" s="577">
        <f t="shared" si="24"/>
        <v>0</v>
      </c>
    </row>
    <row r="48" spans="1:16" hidden="1" x14ac:dyDescent="0.25">
      <c r="A48" s="574" t="s">
        <v>608</v>
      </c>
      <c r="B48" s="572" t="s">
        <v>35</v>
      </c>
      <c r="C48" s="589"/>
      <c r="D48" s="589"/>
      <c r="E48" s="589"/>
      <c r="F48" s="589"/>
      <c r="G48" s="589"/>
      <c r="H48" s="589"/>
      <c r="I48" s="589"/>
      <c r="J48" s="589"/>
      <c r="K48" s="589"/>
      <c r="L48" s="589"/>
      <c r="M48" s="589"/>
      <c r="N48" s="589"/>
      <c r="O48" s="590"/>
      <c r="P48" s="577">
        <f t="shared" si="24"/>
        <v>0</v>
      </c>
    </row>
    <row r="49" spans="1:16" ht="15.75" hidden="1" thickBot="1" x14ac:dyDescent="0.3">
      <c r="A49" s="574" t="s">
        <v>609</v>
      </c>
      <c r="B49" s="591" t="s">
        <v>35</v>
      </c>
      <c r="C49" s="582"/>
      <c r="D49" s="582"/>
      <c r="E49" s="582"/>
      <c r="F49" s="582"/>
      <c r="G49" s="582"/>
      <c r="H49" s="582"/>
      <c r="I49" s="582"/>
      <c r="J49" s="582"/>
      <c r="K49" s="582"/>
      <c r="L49" s="582"/>
      <c r="M49" s="582"/>
      <c r="N49" s="582"/>
      <c r="O49" s="583"/>
      <c r="P49" s="584">
        <f t="shared" si="24"/>
        <v>0</v>
      </c>
    </row>
    <row r="50" spans="1:16" ht="15.75" thickTop="1" x14ac:dyDescent="0.25">
      <c r="A50" s="489" t="s">
        <v>8</v>
      </c>
      <c r="B50" s="489"/>
      <c r="C50" s="585">
        <f t="shared" ref="C50:P50" si="25">SUM(C46:C49)</f>
        <v>70000</v>
      </c>
      <c r="D50" s="585">
        <f t="shared" si="25"/>
        <v>0</v>
      </c>
      <c r="E50" s="585">
        <f t="shared" si="25"/>
        <v>0</v>
      </c>
      <c r="F50" s="585">
        <f t="shared" si="25"/>
        <v>30000</v>
      </c>
      <c r="G50" s="585">
        <f t="shared" si="25"/>
        <v>0</v>
      </c>
      <c r="H50" s="585">
        <f t="shared" si="25"/>
        <v>30000</v>
      </c>
      <c r="I50" s="585">
        <f t="shared" si="25"/>
        <v>0</v>
      </c>
      <c r="J50" s="585">
        <f t="shared" si="25"/>
        <v>0</v>
      </c>
      <c r="K50" s="585">
        <f t="shared" si="25"/>
        <v>0</v>
      </c>
      <c r="L50" s="585">
        <f t="shared" si="25"/>
        <v>0</v>
      </c>
      <c r="M50" s="585">
        <f t="shared" si="25"/>
        <v>0</v>
      </c>
      <c r="N50" s="585">
        <f t="shared" si="25"/>
        <v>0</v>
      </c>
      <c r="O50" s="586">
        <f t="shared" si="25"/>
        <v>0</v>
      </c>
      <c r="P50" s="587">
        <f t="shared" si="25"/>
        <v>130000</v>
      </c>
    </row>
  </sheetData>
  <sheetProtection algorithmName="SHA-512" hashValue="Z25SFqpv53hVxf42URQlmCzwWeux+sebIssyDUCyZ4TSgoOiQ/kdd4IddaKibZjcKDhWZMOpzj9ujKO3TiAFMA==" saltValue="F1+WRvqRmEk3KijaYLpDfw==" spinCount="100000" sheet="1" objects="1" scenarios="1"/>
  <mergeCells count="18">
    <mergeCell ref="C1:F1"/>
    <mergeCell ref="C3:F3"/>
    <mergeCell ref="C4:F4"/>
    <mergeCell ref="C2:F2"/>
    <mergeCell ref="A6:A7"/>
    <mergeCell ref="A9:B9"/>
    <mergeCell ref="A10:B10"/>
    <mergeCell ref="A11:B11"/>
    <mergeCell ref="A14:B14"/>
    <mergeCell ref="A15:B15"/>
    <mergeCell ref="A12:B12"/>
    <mergeCell ref="A13:B13"/>
    <mergeCell ref="A23:B23"/>
    <mergeCell ref="A16:B16"/>
    <mergeCell ref="A17:B17"/>
    <mergeCell ref="D19:F19"/>
    <mergeCell ref="D20:F20"/>
    <mergeCell ref="D21:F21"/>
  </mergeCells>
  <pageMargins left="0.7" right="0.7" top="0.75" bottom="0.75" header="0.3" footer="0.3"/>
  <pageSetup paperSize="5" pageOrder="overThenDown" orientation="landscape" r:id="rId1"/>
  <rowBreaks count="1" manualBreakCount="1">
    <brk id="24"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0"/>
  </sheetPr>
  <dimension ref="A1:C23"/>
  <sheetViews>
    <sheetView zoomScaleNormal="100" zoomScaleSheetLayoutView="80" workbookViewId="0">
      <selection activeCell="B16" sqref="B16"/>
    </sheetView>
  </sheetViews>
  <sheetFormatPr defaultColWidth="9.140625" defaultRowHeight="15" x14ac:dyDescent="0.25"/>
  <cols>
    <col min="1" max="1" width="18.28515625" style="1" customWidth="1"/>
    <col min="2" max="2" width="25.7109375" style="1" bestFit="1" customWidth="1"/>
    <col min="3" max="3" width="78.140625" style="1" customWidth="1"/>
    <col min="4" max="13" width="9.140625" style="1"/>
    <col min="14" max="14" width="12.42578125" style="1" bestFit="1" customWidth="1"/>
    <col min="15" max="16384" width="9.140625" style="1"/>
  </cols>
  <sheetData>
    <row r="1" spans="1:3" ht="18.75" x14ac:dyDescent="0.3">
      <c r="A1" s="2" t="s">
        <v>435</v>
      </c>
    </row>
    <row r="2" spans="1:3" ht="15.75" x14ac:dyDescent="0.25">
      <c r="A2" s="15" t="s">
        <v>491</v>
      </c>
    </row>
    <row r="3" spans="1:3" ht="15.75" x14ac:dyDescent="0.25">
      <c r="A3" s="15"/>
    </row>
    <row r="5" spans="1:3" x14ac:dyDescent="0.25">
      <c r="A5" s="17" t="s">
        <v>60</v>
      </c>
      <c r="B5" s="17" t="s">
        <v>61</v>
      </c>
      <c r="C5" s="16" t="s">
        <v>62</v>
      </c>
    </row>
    <row r="6" spans="1:3" ht="30" x14ac:dyDescent="0.25">
      <c r="A6" s="750" t="s">
        <v>63</v>
      </c>
      <c r="B6" s="323" t="s">
        <v>65</v>
      </c>
      <c r="C6" s="719" t="s">
        <v>930</v>
      </c>
    </row>
    <row r="7" spans="1:3" x14ac:dyDescent="0.25">
      <c r="A7" s="751"/>
      <c r="B7" s="323" t="s">
        <v>492</v>
      </c>
      <c r="C7" s="324" t="s">
        <v>493</v>
      </c>
    </row>
    <row r="8" spans="1:3" ht="30" x14ac:dyDescent="0.25">
      <c r="A8" s="746" t="s">
        <v>64</v>
      </c>
      <c r="B8" s="75" t="s">
        <v>66</v>
      </c>
      <c r="C8" s="89" t="s">
        <v>392</v>
      </c>
    </row>
    <row r="9" spans="1:3" ht="30" x14ac:dyDescent="0.25">
      <c r="A9" s="746"/>
      <c r="B9" s="75" t="s">
        <v>67</v>
      </c>
      <c r="C9" s="90" t="s">
        <v>391</v>
      </c>
    </row>
    <row r="10" spans="1:3" x14ac:dyDescent="0.25">
      <c r="A10" s="746"/>
      <c r="B10" s="75" t="s">
        <v>68</v>
      </c>
      <c r="C10" s="90" t="s">
        <v>71</v>
      </c>
    </row>
    <row r="11" spans="1:3" x14ac:dyDescent="0.25">
      <c r="A11" s="746"/>
      <c r="B11" s="75" t="s">
        <v>108</v>
      </c>
      <c r="C11" s="90" t="s">
        <v>109</v>
      </c>
    </row>
    <row r="12" spans="1:3" ht="30" x14ac:dyDescent="0.25">
      <c r="A12" s="746"/>
      <c r="B12" s="75" t="s">
        <v>149</v>
      </c>
      <c r="C12" s="90" t="s">
        <v>434</v>
      </c>
    </row>
    <row r="13" spans="1:3" ht="30" x14ac:dyDescent="0.25">
      <c r="A13" s="746"/>
      <c r="B13" s="75" t="s">
        <v>584</v>
      </c>
      <c r="C13" s="90" t="s">
        <v>317</v>
      </c>
    </row>
    <row r="14" spans="1:3" ht="30" x14ac:dyDescent="0.25">
      <c r="A14" s="746"/>
      <c r="B14" s="75" t="s">
        <v>110</v>
      </c>
      <c r="C14" s="91" t="s">
        <v>318</v>
      </c>
    </row>
    <row r="15" spans="1:3" ht="45" x14ac:dyDescent="0.25">
      <c r="A15" s="747" t="s">
        <v>319</v>
      </c>
      <c r="B15" s="730" t="s">
        <v>936</v>
      </c>
      <c r="C15" s="624" t="s">
        <v>821</v>
      </c>
    </row>
    <row r="16" spans="1:3" ht="45" x14ac:dyDescent="0.25">
      <c r="A16" s="747"/>
      <c r="B16" s="524" t="s">
        <v>655</v>
      </c>
      <c r="C16" s="523" t="s">
        <v>656</v>
      </c>
    </row>
    <row r="17" spans="1:3" x14ac:dyDescent="0.25">
      <c r="A17" s="747"/>
      <c r="B17" s="525" t="s">
        <v>320</v>
      </c>
      <c r="C17" s="92" t="s">
        <v>72</v>
      </c>
    </row>
    <row r="18" spans="1:3" x14ac:dyDescent="0.25">
      <c r="A18" s="747"/>
      <c r="B18" s="525" t="s">
        <v>321</v>
      </c>
      <c r="C18" s="92" t="s">
        <v>73</v>
      </c>
    </row>
    <row r="19" spans="1:3" x14ac:dyDescent="0.25">
      <c r="A19" s="747"/>
      <c r="B19" s="525" t="s">
        <v>69</v>
      </c>
      <c r="C19" s="92" t="s">
        <v>74</v>
      </c>
    </row>
    <row r="20" spans="1:3" ht="30" x14ac:dyDescent="0.25">
      <c r="A20" s="747"/>
      <c r="B20" s="525" t="s">
        <v>70</v>
      </c>
      <c r="C20" s="92" t="s">
        <v>389</v>
      </c>
    </row>
    <row r="21" spans="1:3" x14ac:dyDescent="0.25">
      <c r="A21" s="747"/>
      <c r="B21" s="525" t="s">
        <v>388</v>
      </c>
      <c r="C21" s="92" t="s">
        <v>390</v>
      </c>
    </row>
    <row r="22" spans="1:3" x14ac:dyDescent="0.25">
      <c r="A22" s="748" t="s">
        <v>657</v>
      </c>
      <c r="B22" s="605" t="s">
        <v>775</v>
      </c>
      <c r="C22" s="720" t="s">
        <v>931</v>
      </c>
    </row>
    <row r="23" spans="1:3" x14ac:dyDescent="0.25">
      <c r="A23" s="749"/>
      <c r="B23" s="605" t="s">
        <v>776</v>
      </c>
      <c r="C23" s="720" t="s">
        <v>932</v>
      </c>
    </row>
  </sheetData>
  <sheetProtection algorithmName="SHA-512" hashValue="pE7baZgzh1MF6AYclEj2Zy5Rp5KxOFhuOJgv3ciy4OhWzpjcdwgKoRfTBoNO+NW94McMXMbDmaYgb4dDEu2oKw==" saltValue="61MiFeFfdGKOZlzNbWMBAg==" spinCount="100000" sheet="1" objects="1" scenarios="1"/>
  <mergeCells count="4">
    <mergeCell ref="A8:A14"/>
    <mergeCell ref="A15:A21"/>
    <mergeCell ref="A22:A23"/>
    <mergeCell ref="A6:A7"/>
  </mergeCells>
  <pageMargins left="0.7" right="0.7" top="0.75" bottom="0.75" header="0.3" footer="0.3"/>
  <pageSetup paperSize="5"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rgb="FFCC99FF"/>
  </sheetPr>
  <dimension ref="A1:P29"/>
  <sheetViews>
    <sheetView zoomScaleNormal="100" zoomScaleSheetLayoutView="80" workbookViewId="0">
      <selection activeCell="J11" sqref="J11"/>
    </sheetView>
  </sheetViews>
  <sheetFormatPr defaultColWidth="9.140625" defaultRowHeight="15" x14ac:dyDescent="0.25"/>
  <cols>
    <col min="1" max="1" width="27.5703125" style="573" customWidth="1"/>
    <col min="2" max="2" width="27.28515625" style="573" customWidth="1"/>
    <col min="3" max="16" width="13.5703125" style="573" customWidth="1"/>
    <col min="17" max="16384" width="9.140625" style="573"/>
  </cols>
  <sheetData>
    <row r="1" spans="1:16" ht="18.75" x14ac:dyDescent="0.3">
      <c r="A1" s="2" t="s">
        <v>600</v>
      </c>
    </row>
    <row r="2" spans="1:16" ht="15.75" x14ac:dyDescent="0.25">
      <c r="A2" s="15" t="s">
        <v>888</v>
      </c>
    </row>
    <row r="4" spans="1:16" ht="30.75" thickBot="1" x14ac:dyDescent="0.3">
      <c r="A4" s="1032" t="s">
        <v>749</v>
      </c>
      <c r="B4" s="80" t="s">
        <v>610</v>
      </c>
      <c r="C4" s="469">
        <v>2020</v>
      </c>
      <c r="D4" s="469">
        <v>2021</v>
      </c>
      <c r="E4" s="469">
        <v>2022</v>
      </c>
      <c r="F4" s="469">
        <v>2023</v>
      </c>
      <c r="G4" s="469">
        <v>2024</v>
      </c>
      <c r="H4" s="469">
        <v>2025</v>
      </c>
      <c r="I4" s="469">
        <v>2026</v>
      </c>
      <c r="J4" s="469">
        <v>2027</v>
      </c>
      <c r="K4" s="469">
        <v>2028</v>
      </c>
      <c r="L4" s="469">
        <v>2029</v>
      </c>
      <c r="M4" s="469">
        <v>2030</v>
      </c>
      <c r="N4" s="469">
        <v>2031</v>
      </c>
      <c r="O4" s="491">
        <v>2032</v>
      </c>
      <c r="P4" s="492" t="s">
        <v>595</v>
      </c>
    </row>
    <row r="5" spans="1:16" ht="15.75" thickTop="1" x14ac:dyDescent="0.25">
      <c r="A5" s="1033"/>
      <c r="B5" s="597" t="s">
        <v>59</v>
      </c>
      <c r="C5" s="585">
        <f t="shared" ref="C5:O5" si="0">C8+C14+C29</f>
        <v>10000</v>
      </c>
      <c r="D5" s="585">
        <f t="shared" si="0"/>
        <v>0</v>
      </c>
      <c r="E5" s="585">
        <f t="shared" si="0"/>
        <v>0</v>
      </c>
      <c r="F5" s="585">
        <f t="shared" si="0"/>
        <v>30000</v>
      </c>
      <c r="G5" s="585">
        <f t="shared" si="0"/>
        <v>351913.82259257796</v>
      </c>
      <c r="H5" s="585">
        <f t="shared" si="0"/>
        <v>362193.30295108759</v>
      </c>
      <c r="I5" s="585">
        <f t="shared" si="0"/>
        <v>372811.98608383886</v>
      </c>
      <c r="J5" s="585">
        <f t="shared" si="0"/>
        <v>383750.70515266829</v>
      </c>
      <c r="K5" s="585">
        <f t="shared" si="0"/>
        <v>392475.44136012491</v>
      </c>
      <c r="L5" s="585">
        <f t="shared" si="0"/>
        <v>401399.48257102771</v>
      </c>
      <c r="M5" s="585">
        <f t="shared" si="0"/>
        <v>410527.40259188635</v>
      </c>
      <c r="N5" s="585">
        <f t="shared" si="0"/>
        <v>419863.88065823744</v>
      </c>
      <c r="O5" s="586">
        <f t="shared" si="0"/>
        <v>429788.99013083946</v>
      </c>
      <c r="P5" s="587">
        <f>SUM(C5:O5)</f>
        <v>3564725.0140922884</v>
      </c>
    </row>
    <row r="6" spans="1:16" x14ac:dyDescent="0.25">
      <c r="B6" s="11"/>
    </row>
    <row r="7" spans="1:16" s="3" customFormat="1" x14ac:dyDescent="0.25">
      <c r="A7" s="1027" t="s">
        <v>640</v>
      </c>
      <c r="B7" s="1028"/>
      <c r="C7" s="497">
        <v>2020</v>
      </c>
      <c r="D7" s="497">
        <v>2021</v>
      </c>
      <c r="E7" s="497">
        <v>2022</v>
      </c>
      <c r="F7" s="497">
        <v>2023</v>
      </c>
      <c r="G7" s="497">
        <v>2024</v>
      </c>
      <c r="H7" s="497">
        <v>2025</v>
      </c>
      <c r="I7" s="497">
        <v>2026</v>
      </c>
      <c r="J7" s="497">
        <v>2027</v>
      </c>
      <c r="K7" s="497">
        <v>2028</v>
      </c>
      <c r="L7" s="497">
        <v>2029</v>
      </c>
      <c r="M7" s="497">
        <v>2030</v>
      </c>
      <c r="N7" s="181">
        <v>2031</v>
      </c>
      <c r="O7" s="181">
        <v>2032</v>
      </c>
    </row>
    <row r="8" spans="1:16" x14ac:dyDescent="0.25">
      <c r="A8" s="1035" t="s">
        <v>602</v>
      </c>
      <c r="B8" s="1026"/>
      <c r="C8" s="386"/>
      <c r="D8" s="386"/>
      <c r="E8" s="386"/>
      <c r="F8" s="386"/>
      <c r="G8" s="592">
        <f>'C&amp;C-Container &amp; Ro-Ro'!I63/'C&amp;C-Container &amp; Ro-Ro'!$G37</f>
        <v>351913.82259257796</v>
      </c>
      <c r="H8" s="592">
        <f>'C&amp;C-Container &amp; Ro-Ro'!J63/'C&amp;C-Container &amp; Ro-Ro'!$G37</f>
        <v>362193.30295108759</v>
      </c>
      <c r="I8" s="592">
        <f>'C&amp;C-Container &amp; Ro-Ro'!K63/'C&amp;C-Container &amp; Ro-Ro'!$G37</f>
        <v>372811.98608383886</v>
      </c>
      <c r="J8" s="592">
        <f>'C&amp;C-Container &amp; Ro-Ro'!L63/'C&amp;C-Container &amp; Ro-Ro'!$G37</f>
        <v>383750.70515266829</v>
      </c>
      <c r="K8" s="592">
        <f>'C&amp;C-Container &amp; Ro-Ro'!M63/'C&amp;C-Container &amp; Ro-Ro'!$G37</f>
        <v>392475.44136012491</v>
      </c>
      <c r="L8" s="592">
        <f>'C&amp;C-Container &amp; Ro-Ro'!N63/'C&amp;C-Container &amp; Ro-Ro'!$G37</f>
        <v>401399.48257102771</v>
      </c>
      <c r="M8" s="592">
        <f>'C&amp;C-Container &amp; Ro-Ro'!O63/'C&amp;C-Container &amp; Ro-Ro'!$G37</f>
        <v>410527.40259188635</v>
      </c>
      <c r="N8" s="592">
        <f>'C&amp;C-Container &amp; Ro-Ro'!P63/'C&amp;C-Container &amp; Ro-Ro'!$G37</f>
        <v>419863.88065823744</v>
      </c>
      <c r="O8" s="592">
        <f>'C&amp;C-Container &amp; Ro-Ro'!Q63/'C&amp;C-Container &amp; Ro-Ro'!$G37</f>
        <v>429788.99013083946</v>
      </c>
      <c r="P8" s="11"/>
    </row>
    <row r="10" spans="1:16" ht="30.75" thickBot="1" x14ac:dyDescent="0.3">
      <c r="A10" s="469" t="s">
        <v>820</v>
      </c>
      <c r="B10" s="80" t="s">
        <v>729</v>
      </c>
      <c r="C10" s="469">
        <v>2020</v>
      </c>
      <c r="D10" s="469">
        <v>2021</v>
      </c>
      <c r="E10" s="469">
        <v>2022</v>
      </c>
      <c r="F10" s="469">
        <v>2023</v>
      </c>
      <c r="G10" s="469">
        <v>2024</v>
      </c>
      <c r="H10" s="469">
        <v>2025</v>
      </c>
      <c r="I10" s="469">
        <v>2026</v>
      </c>
      <c r="J10" s="469">
        <v>2027</v>
      </c>
      <c r="K10" s="469">
        <v>2028</v>
      </c>
      <c r="L10" s="469">
        <v>2029</v>
      </c>
      <c r="M10" s="469">
        <v>2030</v>
      </c>
      <c r="N10" s="469">
        <v>2031</v>
      </c>
      <c r="O10" s="491">
        <v>2032</v>
      </c>
      <c r="P10" s="492" t="s">
        <v>595</v>
      </c>
    </row>
    <row r="11" spans="1:16" ht="16.5" thickTop="1" thickBot="1" x14ac:dyDescent="0.3">
      <c r="A11" s="572" t="s">
        <v>596</v>
      </c>
      <c r="B11" s="468" t="s">
        <v>59</v>
      </c>
      <c r="C11" s="576">
        <v>0</v>
      </c>
      <c r="D11" s="576">
        <v>0</v>
      </c>
      <c r="E11" s="576">
        <v>0</v>
      </c>
      <c r="F11" s="576">
        <v>0</v>
      </c>
      <c r="G11" s="576">
        <v>0</v>
      </c>
      <c r="H11" s="576">
        <v>0</v>
      </c>
      <c r="I11" s="576">
        <v>0</v>
      </c>
      <c r="J11" s="576">
        <v>0</v>
      </c>
      <c r="K11" s="576">
        <v>0</v>
      </c>
      <c r="L11" s="576">
        <v>0</v>
      </c>
      <c r="M11" s="576">
        <v>0</v>
      </c>
      <c r="N11" s="576">
        <v>0</v>
      </c>
      <c r="O11" s="576">
        <v>0</v>
      </c>
      <c r="P11" s="577">
        <f t="shared" ref="P11:P13" si="1">SUM(C11:O11)</f>
        <v>0</v>
      </c>
    </row>
    <row r="12" spans="1:16" ht="15.75" hidden="1" thickBot="1" x14ac:dyDescent="0.3">
      <c r="A12" s="574" t="s">
        <v>597</v>
      </c>
      <c r="B12" s="574" t="s">
        <v>35</v>
      </c>
      <c r="C12" s="578"/>
      <c r="D12" s="578"/>
      <c r="E12" s="578"/>
      <c r="F12" s="578"/>
      <c r="G12" s="578"/>
      <c r="H12" s="578"/>
      <c r="I12" s="578"/>
      <c r="J12" s="578"/>
      <c r="K12" s="578"/>
      <c r="L12" s="578"/>
      <c r="M12" s="578"/>
      <c r="N12" s="578"/>
      <c r="O12" s="579"/>
      <c r="P12" s="580">
        <f t="shared" si="1"/>
        <v>0</v>
      </c>
    </row>
    <row r="13" spans="1:16" ht="15.75" hidden="1" thickBot="1" x14ac:dyDescent="0.3">
      <c r="A13" s="581" t="s">
        <v>598</v>
      </c>
      <c r="B13" s="581" t="s">
        <v>35</v>
      </c>
      <c r="C13" s="582"/>
      <c r="D13" s="582"/>
      <c r="E13" s="582"/>
      <c r="F13" s="582"/>
      <c r="G13" s="582"/>
      <c r="H13" s="582"/>
      <c r="I13" s="582"/>
      <c r="J13" s="582"/>
      <c r="K13" s="582"/>
      <c r="L13" s="582"/>
      <c r="M13" s="582"/>
      <c r="N13" s="582"/>
      <c r="O13" s="583"/>
      <c r="P13" s="584">
        <f t="shared" si="1"/>
        <v>0</v>
      </c>
    </row>
    <row r="14" spans="1:16" ht="15.75" thickTop="1" x14ac:dyDescent="0.25">
      <c r="A14" s="489" t="s">
        <v>599</v>
      </c>
      <c r="B14" s="489"/>
      <c r="C14" s="585">
        <f t="shared" ref="C14:P14" si="2">SUM(C11:C13)</f>
        <v>0</v>
      </c>
      <c r="D14" s="585">
        <f t="shared" si="2"/>
        <v>0</v>
      </c>
      <c r="E14" s="585">
        <f t="shared" si="2"/>
        <v>0</v>
      </c>
      <c r="F14" s="585">
        <f t="shared" si="2"/>
        <v>0</v>
      </c>
      <c r="G14" s="585">
        <f t="shared" si="2"/>
        <v>0</v>
      </c>
      <c r="H14" s="585">
        <f t="shared" si="2"/>
        <v>0</v>
      </c>
      <c r="I14" s="585">
        <f t="shared" si="2"/>
        <v>0</v>
      </c>
      <c r="J14" s="585">
        <f t="shared" si="2"/>
        <v>0</v>
      </c>
      <c r="K14" s="585">
        <f t="shared" si="2"/>
        <v>0</v>
      </c>
      <c r="L14" s="585">
        <f t="shared" si="2"/>
        <v>0</v>
      </c>
      <c r="M14" s="585">
        <f t="shared" si="2"/>
        <v>0</v>
      </c>
      <c r="N14" s="585">
        <f t="shared" si="2"/>
        <v>0</v>
      </c>
      <c r="O14" s="586">
        <f t="shared" si="2"/>
        <v>0</v>
      </c>
      <c r="P14" s="587">
        <f t="shared" si="2"/>
        <v>0</v>
      </c>
    </row>
    <row r="16" spans="1:16" x14ac:dyDescent="0.25">
      <c r="A16" s="1034" t="s">
        <v>942</v>
      </c>
      <c r="B16" s="1034"/>
      <c r="C16" s="1034"/>
      <c r="D16" s="1034"/>
      <c r="E16" s="1034"/>
      <c r="F16" s="1034"/>
      <c r="G16" s="1034"/>
      <c r="H16" s="1034"/>
      <c r="I16" s="1034"/>
      <c r="J16" s="1034"/>
      <c r="K16" s="1034"/>
      <c r="L16" s="1034"/>
      <c r="M16" s="1034"/>
      <c r="N16" s="1034"/>
      <c r="O16" s="1034"/>
      <c r="P16" s="1034"/>
    </row>
    <row r="17" spans="1:16" x14ac:dyDescent="0.25">
      <c r="A17" s="1034"/>
      <c r="B17" s="1034"/>
      <c r="C17" s="1034"/>
      <c r="D17" s="1034"/>
      <c r="E17" s="1034"/>
      <c r="F17" s="1034"/>
      <c r="G17" s="1034"/>
      <c r="H17" s="1034"/>
      <c r="I17" s="1034"/>
      <c r="J17" s="1034"/>
      <c r="K17" s="1034"/>
      <c r="L17" s="1034"/>
      <c r="M17" s="1034"/>
      <c r="N17" s="1034"/>
      <c r="O17" s="1034"/>
      <c r="P17" s="1034"/>
    </row>
    <row r="18" spans="1:16" x14ac:dyDescent="0.25">
      <c r="A18" s="596"/>
      <c r="B18" s="596"/>
      <c r="C18" s="596"/>
      <c r="D18" s="596"/>
      <c r="E18" s="596"/>
      <c r="F18" s="596"/>
      <c r="G18" s="596"/>
      <c r="H18" s="596"/>
      <c r="I18" s="596"/>
      <c r="J18" s="596"/>
      <c r="K18" s="596"/>
      <c r="L18" s="596"/>
      <c r="M18" s="596"/>
      <c r="N18" s="596"/>
      <c r="O18" s="596"/>
      <c r="P18" s="596"/>
    </row>
    <row r="19" spans="1:16" x14ac:dyDescent="0.25">
      <c r="A19" s="1025" t="s">
        <v>750</v>
      </c>
      <c r="B19" s="1025"/>
      <c r="C19" s="575">
        <f>'Berths, Terminals, Vessels'!B17</f>
        <v>1</v>
      </c>
    </row>
    <row r="20" spans="1:16" x14ac:dyDescent="0.25">
      <c r="A20" s="1025" t="s">
        <v>889</v>
      </c>
      <c r="B20" s="1025"/>
      <c r="C20" s="575">
        <f>'Berths, Terminals, Vessels'!B62</f>
        <v>3</v>
      </c>
    </row>
    <row r="21" spans="1:16" x14ac:dyDescent="0.25">
      <c r="A21" s="1025" t="s">
        <v>745</v>
      </c>
      <c r="B21" s="1025"/>
      <c r="C21" s="594">
        <f>'Cost Inputs'!C144</f>
        <v>10000</v>
      </c>
    </row>
    <row r="24" spans="1:16" ht="30.75" thickBot="1" x14ac:dyDescent="0.3">
      <c r="A24" s="490" t="s">
        <v>605</v>
      </c>
      <c r="B24" s="469" t="s">
        <v>610</v>
      </c>
      <c r="C24" s="469">
        <v>2020</v>
      </c>
      <c r="D24" s="469">
        <v>2021</v>
      </c>
      <c r="E24" s="469">
        <v>2022</v>
      </c>
      <c r="F24" s="469">
        <v>2023</v>
      </c>
      <c r="G24" s="469">
        <v>2024</v>
      </c>
      <c r="H24" s="469">
        <v>2025</v>
      </c>
      <c r="I24" s="469">
        <v>2026</v>
      </c>
      <c r="J24" s="469">
        <v>2027</v>
      </c>
      <c r="K24" s="469">
        <v>2028</v>
      </c>
      <c r="L24" s="469">
        <v>2029</v>
      </c>
      <c r="M24" s="469">
        <v>2030</v>
      </c>
      <c r="N24" s="469">
        <v>2031</v>
      </c>
      <c r="O24" s="469">
        <v>2032</v>
      </c>
      <c r="P24" s="492" t="s">
        <v>595</v>
      </c>
    </row>
    <row r="25" spans="1:16" ht="16.5" thickTop="1" thickBot="1" x14ac:dyDescent="0.3">
      <c r="A25" s="572" t="s">
        <v>606</v>
      </c>
      <c r="B25" s="572" t="s">
        <v>59</v>
      </c>
      <c r="C25" s="589">
        <f>C19*C21</f>
        <v>10000</v>
      </c>
      <c r="D25" s="595"/>
      <c r="E25" s="595"/>
      <c r="F25" s="589">
        <f>C20*C21</f>
        <v>30000</v>
      </c>
      <c r="G25" s="595"/>
      <c r="H25" s="595"/>
      <c r="I25" s="595"/>
      <c r="J25" s="595"/>
      <c r="K25" s="595"/>
      <c r="L25" s="595"/>
      <c r="M25" s="595"/>
      <c r="N25" s="595"/>
      <c r="O25" s="595"/>
      <c r="P25" s="577">
        <f t="shared" ref="P25:P28" si="3">SUM(C25:O25)</f>
        <v>40000</v>
      </c>
    </row>
    <row r="26" spans="1:16" ht="15.75" hidden="1" thickBot="1" x14ac:dyDescent="0.3">
      <c r="A26" s="574" t="s">
        <v>607</v>
      </c>
      <c r="B26" s="572" t="s">
        <v>35</v>
      </c>
      <c r="C26" s="589"/>
      <c r="D26" s="589"/>
      <c r="E26" s="589"/>
      <c r="F26" s="589"/>
      <c r="G26" s="589"/>
      <c r="H26" s="589"/>
      <c r="I26" s="589"/>
      <c r="J26" s="589"/>
      <c r="K26" s="589"/>
      <c r="L26" s="589"/>
      <c r="M26" s="589"/>
      <c r="N26" s="589"/>
      <c r="O26" s="590"/>
      <c r="P26" s="577">
        <f t="shared" si="3"/>
        <v>0</v>
      </c>
    </row>
    <row r="27" spans="1:16" ht="15.75" hidden="1" thickBot="1" x14ac:dyDescent="0.3">
      <c r="A27" s="574" t="s">
        <v>608</v>
      </c>
      <c r="B27" s="572" t="s">
        <v>35</v>
      </c>
      <c r="C27" s="589"/>
      <c r="D27" s="589"/>
      <c r="E27" s="589"/>
      <c r="F27" s="589"/>
      <c r="G27" s="589"/>
      <c r="H27" s="589"/>
      <c r="I27" s="589"/>
      <c r="J27" s="589"/>
      <c r="K27" s="589"/>
      <c r="L27" s="589"/>
      <c r="M27" s="589"/>
      <c r="N27" s="589"/>
      <c r="O27" s="590"/>
      <c r="P27" s="577">
        <f t="shared" si="3"/>
        <v>0</v>
      </c>
    </row>
    <row r="28" spans="1:16" ht="15.75" hidden="1" thickBot="1" x14ac:dyDescent="0.3">
      <c r="A28" s="574" t="s">
        <v>609</v>
      </c>
      <c r="B28" s="591" t="s">
        <v>35</v>
      </c>
      <c r="C28" s="582"/>
      <c r="D28" s="582"/>
      <c r="E28" s="582"/>
      <c r="F28" s="582"/>
      <c r="G28" s="582"/>
      <c r="H28" s="582"/>
      <c r="I28" s="582"/>
      <c r="J28" s="582"/>
      <c r="K28" s="582"/>
      <c r="L28" s="582"/>
      <c r="M28" s="582"/>
      <c r="N28" s="582"/>
      <c r="O28" s="583"/>
      <c r="P28" s="584">
        <f t="shared" si="3"/>
        <v>0</v>
      </c>
    </row>
    <row r="29" spans="1:16" ht="15.75" thickTop="1" x14ac:dyDescent="0.25">
      <c r="A29" s="489" t="s">
        <v>8</v>
      </c>
      <c r="B29" s="489"/>
      <c r="C29" s="585">
        <f t="shared" ref="C29:P29" si="4">SUM(C25:C28)</f>
        <v>10000</v>
      </c>
      <c r="D29" s="585">
        <f t="shared" si="4"/>
        <v>0</v>
      </c>
      <c r="E29" s="585">
        <f t="shared" si="4"/>
        <v>0</v>
      </c>
      <c r="F29" s="585">
        <f t="shared" si="4"/>
        <v>30000</v>
      </c>
      <c r="G29" s="585">
        <f t="shared" si="4"/>
        <v>0</v>
      </c>
      <c r="H29" s="585">
        <f t="shared" si="4"/>
        <v>0</v>
      </c>
      <c r="I29" s="585">
        <f t="shared" si="4"/>
        <v>0</v>
      </c>
      <c r="J29" s="585">
        <f t="shared" si="4"/>
        <v>0</v>
      </c>
      <c r="K29" s="585">
        <f t="shared" si="4"/>
        <v>0</v>
      </c>
      <c r="L29" s="585">
        <f t="shared" si="4"/>
        <v>0</v>
      </c>
      <c r="M29" s="585">
        <f t="shared" si="4"/>
        <v>0</v>
      </c>
      <c r="N29" s="585">
        <f t="shared" si="4"/>
        <v>0</v>
      </c>
      <c r="O29" s="586">
        <f t="shared" si="4"/>
        <v>0</v>
      </c>
      <c r="P29" s="587">
        <f t="shared" si="4"/>
        <v>40000</v>
      </c>
    </row>
  </sheetData>
  <sheetProtection algorithmName="SHA-512" hashValue="AsphZzhPaYGCnywIraipQLc9iPqBIkEF4F5dZCVHqypa+bCFXwQH3Mom4/F5tAtfC3wC8Z0Da5SqDqhn+WEl0Q==" saltValue="A7aGWQ5HbGwJwDPhQHpEMA==" spinCount="100000" sheet="1" objects="1" scenarios="1"/>
  <mergeCells count="7">
    <mergeCell ref="A21:B21"/>
    <mergeCell ref="A4:A5"/>
    <mergeCell ref="A16:P17"/>
    <mergeCell ref="A20:B20"/>
    <mergeCell ref="A19:B19"/>
    <mergeCell ref="A7:B7"/>
    <mergeCell ref="A8:B8"/>
  </mergeCells>
  <pageMargins left="0.7" right="0.7" top="0.75" bottom="0.75" header="0.3" footer="0.3"/>
  <pageSetup paperSize="5" pageOrder="overThenDown"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4" tint="0.59999389629810485"/>
  </sheetPr>
  <dimension ref="A1:S32"/>
  <sheetViews>
    <sheetView zoomScaleNormal="100" zoomScaleSheetLayoutView="80" workbookViewId="0">
      <selection activeCell="O18" sqref="O18"/>
    </sheetView>
  </sheetViews>
  <sheetFormatPr defaultColWidth="9.140625" defaultRowHeight="15" x14ac:dyDescent="0.25"/>
  <cols>
    <col min="1" max="1" width="63.42578125" style="1" bestFit="1" customWidth="1"/>
    <col min="2" max="13" width="14.28515625" style="250" hidden="1" customWidth="1"/>
    <col min="14" max="14" width="16" style="250" hidden="1" customWidth="1"/>
    <col min="15" max="16" width="16.7109375" style="305" customWidth="1"/>
    <col min="17" max="17" width="9.140625" style="305"/>
    <col min="18" max="16384" width="9.140625" style="1"/>
  </cols>
  <sheetData>
    <row r="1" spans="1:17" ht="18.75" x14ac:dyDescent="0.3">
      <c r="A1" s="2" t="s">
        <v>479</v>
      </c>
      <c r="C1" s="754" t="s">
        <v>386</v>
      </c>
      <c r="D1" s="754"/>
      <c r="E1" s="754"/>
    </row>
    <row r="2" spans="1:17" x14ac:dyDescent="0.25">
      <c r="A2" s="11"/>
      <c r="C2" s="755" t="s">
        <v>374</v>
      </c>
      <c r="D2" s="755"/>
      <c r="E2" s="755"/>
    </row>
    <row r="3" spans="1:17" x14ac:dyDescent="0.25">
      <c r="C3" s="756" t="s">
        <v>375</v>
      </c>
      <c r="D3" s="756"/>
      <c r="E3" s="756"/>
    </row>
    <row r="4" spans="1:17" s="3" customFormat="1" x14ac:dyDescent="0.25">
      <c r="A4" s="3" t="s">
        <v>929</v>
      </c>
      <c r="B4" s="331"/>
      <c r="C4" s="331"/>
      <c r="D4" s="331"/>
      <c r="E4" s="331"/>
      <c r="F4" s="331"/>
      <c r="G4" s="331"/>
      <c r="H4" s="331"/>
      <c r="I4" s="331"/>
      <c r="J4" s="331"/>
      <c r="K4" s="331"/>
      <c r="L4" s="331"/>
      <c r="M4" s="331"/>
      <c r="N4" s="331"/>
      <c r="O4" s="333"/>
      <c r="P4" s="333"/>
      <c r="Q4" s="333"/>
    </row>
    <row r="5" spans="1:17" s="3" customFormat="1" ht="30.75" thickBot="1" x14ac:dyDescent="0.3">
      <c r="A5" s="469" t="s">
        <v>494</v>
      </c>
      <c r="B5" s="470">
        <v>2020</v>
      </c>
      <c r="C5" s="470">
        <v>2021</v>
      </c>
      <c r="D5" s="470">
        <v>2022</v>
      </c>
      <c r="E5" s="470">
        <v>2023</v>
      </c>
      <c r="F5" s="470">
        <v>2024</v>
      </c>
      <c r="G5" s="470">
        <v>2025</v>
      </c>
      <c r="H5" s="470">
        <v>2026</v>
      </c>
      <c r="I5" s="470">
        <v>2027</v>
      </c>
      <c r="J5" s="470">
        <v>2028</v>
      </c>
      <c r="K5" s="470">
        <v>2029</v>
      </c>
      <c r="L5" s="470">
        <v>2030</v>
      </c>
      <c r="M5" s="471">
        <v>2031</v>
      </c>
      <c r="N5" s="471">
        <v>2032</v>
      </c>
      <c r="O5" s="472" t="s">
        <v>759</v>
      </c>
      <c r="P5" s="472" t="s">
        <v>402</v>
      </c>
      <c r="Q5" s="333"/>
    </row>
    <row r="6" spans="1:17" ht="15.75" thickTop="1" x14ac:dyDescent="0.25">
      <c r="A6" s="468" t="s">
        <v>139</v>
      </c>
      <c r="B6" s="379">
        <f>SUM('C&amp;C-Container &amp; Ro-Ro'!E63,'C&amp;C-Container &amp; Ro-Ro'!E64,'C&amp;C-Tankers'!E51:E57,'C&amp;C-Tankers'!E69:E75)</f>
        <v>0</v>
      </c>
      <c r="C6" s="379">
        <f>SUM('C&amp;C-Container &amp; Ro-Ro'!F63,'C&amp;C-Container &amp; Ro-Ro'!F64,'C&amp;C-Tankers'!F51:F57,'C&amp;C-Tankers'!F69:F75)</f>
        <v>0</v>
      </c>
      <c r="D6" s="379">
        <f>SUM('C&amp;C-Container &amp; Ro-Ro'!G63,'C&amp;C-Container &amp; Ro-Ro'!G64,'C&amp;C-Tankers'!G51:G57,'C&amp;C-Tankers'!G69:G75)</f>
        <v>0</v>
      </c>
      <c r="E6" s="379">
        <f>SUM('C&amp;C-Container &amp; Ro-Ro'!H63,'C&amp;C-Container &amp; Ro-Ro'!H64,'C&amp;C-Tankers'!H51:H57,'C&amp;C-Tankers'!H69:H75)</f>
        <v>0</v>
      </c>
      <c r="F6" s="379">
        <f>SUM('C&amp;C-Container &amp; Ro-Ro'!I63,'C&amp;C-Container &amp; Ro-Ro'!I64,'C&amp;C-Tankers'!I51:I57,'C&amp;C-Tankers'!I69:I75)</f>
        <v>44906767.376652904</v>
      </c>
      <c r="G6" s="379">
        <f>SUM('C&amp;C-Container &amp; Ro-Ro'!J63,'C&amp;C-Container &amp; Ro-Ro'!J64,'C&amp;C-Tankers'!J51:J57,'C&amp;C-Tankers'!J69:J75)</f>
        <v>45286576.369955182</v>
      </c>
      <c r="H6" s="379">
        <f>SUM('C&amp;C-Container &amp; Ro-Ro'!K63,'C&amp;C-Container &amp; Ro-Ro'!K64,'C&amp;C-Tankers'!K51:K57,'C&amp;C-Tankers'!K69:K75)</f>
        <v>143661297.47665191</v>
      </c>
      <c r="I6" s="379">
        <f>SUM('C&amp;C-Container &amp; Ro-Ro'!L63,'C&amp;C-Container &amp; Ro-Ro'!L64,'C&amp;C-Tankers'!L51:L57,'C&amp;C-Tankers'!L69:L75)</f>
        <v>145202300.60780343</v>
      </c>
      <c r="J6" s="379">
        <f>SUM('C&amp;C-Container &amp; Ro-Ro'!M63,'C&amp;C-Container &amp; Ro-Ro'!M64,'C&amp;C-Tankers'!M51:M57,'C&amp;C-Tankers'!M69:M75)</f>
        <v>146758868.59781289</v>
      </c>
      <c r="K6" s="379">
        <f>SUM('C&amp;C-Container &amp; Ro-Ro'!N63,'C&amp;C-Container &amp; Ro-Ro'!N64,'C&amp;C-Tankers'!N51:N57,'C&amp;C-Tankers'!N69:N75)</f>
        <v>148338711.53917846</v>
      </c>
      <c r="L6" s="379">
        <f>SUM('C&amp;C-Container &amp; Ro-Ro'!O63,'C&amp;C-Container &amp; Ro-Ro'!O64,'C&amp;C-Tankers'!O51:O57,'C&amp;C-Tankers'!O69:O75)</f>
        <v>149942326.84137577</v>
      </c>
      <c r="M6" s="379">
        <f>SUM('C&amp;C-Container &amp; Ro-Ro'!P63,'C&amp;C-Container &amp; Ro-Ro'!P64,'C&amp;C-Tankers'!P51:P57,'C&amp;C-Tankers'!P69:P75)</f>
        <v>151706409.13174504</v>
      </c>
      <c r="N6" s="379">
        <f>SUM('C&amp;C-Container &amp; Ro-Ro'!Q63,'C&amp;C-Container &amp; Ro-Ro'!Q64,'C&amp;C-Tankers'!Q51:Q57,'C&amp;C-Tankers'!Q69:Q75)</f>
        <v>153448277.34063277</v>
      </c>
      <c r="O6" s="547">
        <f t="shared" ref="O6:O28" si="0">SUM(B6:N6)</f>
        <v>1129251535.2818084</v>
      </c>
      <c r="P6" s="477">
        <f t="shared" ref="P6:P13" si="1">O6/O$29</f>
        <v>0.4806533304973899</v>
      </c>
      <c r="Q6" s="361"/>
    </row>
    <row r="7" spans="1:17" x14ac:dyDescent="0.25">
      <c r="A7" s="7" t="s">
        <v>399</v>
      </c>
      <c r="B7" s="377">
        <f>'C&amp;C-Container &amp; Ro-Ro'!E66+'C&amp;C-Tankers'!E58+'C&amp;C-Tankers'!E76+'C&amp;C-Tankers'!E59</f>
        <v>0</v>
      </c>
      <c r="C7" s="377">
        <f>'C&amp;C-Container &amp; Ro-Ro'!F66+'C&amp;C-Tankers'!F58+'C&amp;C-Tankers'!F76+'C&amp;C-Tankers'!F59</f>
        <v>0</v>
      </c>
      <c r="D7" s="377">
        <f>'C&amp;C-Container &amp; Ro-Ro'!G66+'C&amp;C-Tankers'!G58+'C&amp;C-Tankers'!G76+'C&amp;C-Tankers'!G59</f>
        <v>0</v>
      </c>
      <c r="E7" s="377">
        <f>'C&amp;C-Container &amp; Ro-Ro'!H66+'C&amp;C-Tankers'!H58+'C&amp;C-Tankers'!H76+'C&amp;C-Tankers'!H59</f>
        <v>0</v>
      </c>
      <c r="F7" s="377">
        <f>'C&amp;C-Container &amp; Ro-Ro'!I66+'C&amp;C-Tankers'!I58+'C&amp;C-Tankers'!I76+'C&amp;C-Tankers'!I59</f>
        <v>0</v>
      </c>
      <c r="G7" s="377">
        <f>'C&amp;C-Container &amp; Ro-Ro'!J66+'C&amp;C-Tankers'!J58+'C&amp;C-Tankers'!J76+'C&amp;C-Tankers'!J59</f>
        <v>0</v>
      </c>
      <c r="H7" s="377">
        <f>'C&amp;C-Container &amp; Ro-Ro'!K66+'C&amp;C-Tankers'!K58+'C&amp;C-Tankers'!K76+'C&amp;C-Tankers'!K59</f>
        <v>0</v>
      </c>
      <c r="I7" s="377">
        <f>'C&amp;C-Container &amp; Ro-Ro'!L66+'C&amp;C-Tankers'!L58+'C&amp;C-Tankers'!L76+'C&amp;C-Tankers'!L59</f>
        <v>14070152.499616344</v>
      </c>
      <c r="J7" s="377">
        <f>'C&amp;C-Container &amp; Ro-Ro'!M66+'C&amp;C-Tankers'!M58+'C&amp;C-Tankers'!M76+'C&amp;C-Tankers'!M59</f>
        <v>14219633.354590643</v>
      </c>
      <c r="K7" s="377">
        <f>'C&amp;C-Container &amp; Ro-Ro'!N66+'C&amp;C-Tankers'!N58+'C&amp;C-Tankers'!N76+'C&amp;C-Tankers'!N59</f>
        <v>33164605.808748119</v>
      </c>
      <c r="L7" s="377">
        <f>'C&amp;C-Container &amp; Ro-Ro'!O66+'C&amp;C-Tankers'!O58+'C&amp;C-Tankers'!O76+'C&amp;C-Tankers'!O59</f>
        <v>33519893.610772621</v>
      </c>
      <c r="M7" s="377">
        <f>'C&amp;C-Container &amp; Ro-Ro'!P66+'C&amp;C-Tankers'!P58+'C&amp;C-Tankers'!P76+'C&amp;C-Tankers'!P59</f>
        <v>33911210.173558682</v>
      </c>
      <c r="N7" s="377">
        <f>'C&amp;C-Container &amp; Ro-Ro'!Q66+'C&amp;C-Tankers'!Q58+'C&amp;C-Tankers'!Q76+'C&amp;C-Tankers'!Q59</f>
        <v>34297121.570522711</v>
      </c>
      <c r="O7" s="547">
        <f t="shared" si="0"/>
        <v>163182617.01780912</v>
      </c>
      <c r="P7" s="478">
        <f t="shared" si="1"/>
        <v>6.9456862265249414E-2</v>
      </c>
    </row>
    <row r="8" spans="1:17" x14ac:dyDescent="0.25">
      <c r="A8" s="7" t="s">
        <v>140</v>
      </c>
      <c r="B8" s="377">
        <f>'C&amp;C-Container &amp; Ro-Ro'!E67+'C&amp;C-Tankers'!E60+'C&amp;C-Tankers'!E77+'C&amp;C-Tankers'!E61</f>
        <v>0</v>
      </c>
      <c r="C8" s="377">
        <f>'C&amp;C-Container &amp; Ro-Ro'!F67+'C&amp;C-Tankers'!F60+'C&amp;C-Tankers'!F77+'C&amp;C-Tankers'!F61</f>
        <v>0</v>
      </c>
      <c r="D8" s="377">
        <f>'C&amp;C-Container &amp; Ro-Ro'!G67+'C&amp;C-Tankers'!G60+'C&amp;C-Tankers'!G77+'C&amp;C-Tankers'!G61</f>
        <v>0</v>
      </c>
      <c r="E8" s="377">
        <f>'C&amp;C-Container &amp; Ro-Ro'!H67+'C&amp;C-Tankers'!H60+'C&amp;C-Tankers'!H77+'C&amp;C-Tankers'!H61</f>
        <v>0</v>
      </c>
      <c r="F8" s="377">
        <f>'C&amp;C-Container &amp; Ro-Ro'!I67+'C&amp;C-Tankers'!I60+'C&amp;C-Tankers'!I77+'C&amp;C-Tankers'!I61</f>
        <v>0</v>
      </c>
      <c r="G8" s="377">
        <f>'C&amp;C-Container &amp; Ro-Ro'!J67+'C&amp;C-Tankers'!J60+'C&amp;C-Tankers'!J77+'C&amp;C-Tankers'!J61</f>
        <v>21953.390141465894</v>
      </c>
      <c r="H8" s="377">
        <f>'C&amp;C-Container &amp; Ro-Ro'!K67+'C&amp;C-Tankers'!K60+'C&amp;C-Tankers'!K77+'C&amp;C-Tankers'!K61</f>
        <v>22597.013564932044</v>
      </c>
      <c r="I8" s="377">
        <f>'C&amp;C-Container &amp; Ro-Ro'!L67+'C&amp;C-Tankers'!L60+'C&amp;C-Tankers'!L77+'C&amp;C-Tankers'!L61</f>
        <v>2314820.6693499046</v>
      </c>
      <c r="J8" s="377">
        <f>'C&amp;C-Container &amp; Ro-Ro'!M67+'C&amp;C-Tankers'!M60+'C&amp;C-Tankers'!M77+'C&amp;C-Tankers'!M61</f>
        <v>2339694.9638570566</v>
      </c>
      <c r="K8" s="377">
        <f>'C&amp;C-Container &amp; Ro-Ro'!N67+'C&amp;C-Tankers'!N60+'C&amp;C-Tankers'!N77+'C&amp;C-Tankers'!N61</f>
        <v>6727716.4323550072</v>
      </c>
      <c r="L8" s="377">
        <f>'C&amp;C-Container &amp; Ro-Ro'!O67+'C&amp;C-Tankers'!O60+'C&amp;C-Tankers'!O77+'C&amp;C-Tankers'!O61</f>
        <v>6800082.1446169764</v>
      </c>
      <c r="M8" s="377">
        <f>'C&amp;C-Container &amp; Ro-Ro'!P67+'C&amp;C-Tankers'!P60+'C&amp;C-Tankers'!P77+'C&amp;C-Tankers'!P61</f>
        <v>6879742.801254971</v>
      </c>
      <c r="N8" s="377">
        <f>'C&amp;C-Container &amp; Ro-Ro'!Q67+'C&amp;C-Tankers'!Q60+'C&amp;C-Tankers'!Q77+'C&amp;C-Tankers'!Q61</f>
        <v>6958346.6186021203</v>
      </c>
      <c r="O8" s="547">
        <f t="shared" si="0"/>
        <v>32064954.033742435</v>
      </c>
      <c r="P8" s="478">
        <f t="shared" si="1"/>
        <v>1.3648090320920282E-2</v>
      </c>
    </row>
    <row r="9" spans="1:17" x14ac:dyDescent="0.25">
      <c r="A9" s="7" t="s">
        <v>401</v>
      </c>
      <c r="B9" s="377">
        <f>'C&amp;C-Container &amp; Ro-Ro'!E69+'C&amp;C-Tankers'!E62+'C&amp;C-Tankers'!E78</f>
        <v>0</v>
      </c>
      <c r="C9" s="377">
        <f>'C&amp;C-Container &amp; Ro-Ro'!F69+'C&amp;C-Tankers'!F62+'C&amp;C-Tankers'!F78</f>
        <v>0</v>
      </c>
      <c r="D9" s="377">
        <f>'C&amp;C-Container &amp; Ro-Ro'!G69+'C&amp;C-Tankers'!G62+'C&amp;C-Tankers'!G78</f>
        <v>0</v>
      </c>
      <c r="E9" s="377">
        <f>'C&amp;C-Container &amp; Ro-Ro'!H69+'C&amp;C-Tankers'!H62+'C&amp;C-Tankers'!H78</f>
        <v>0</v>
      </c>
      <c r="F9" s="377">
        <f>'C&amp;C-Container &amp; Ro-Ro'!I69+'C&amp;C-Tankers'!I62+'C&amp;C-Tankers'!I78</f>
        <v>0</v>
      </c>
      <c r="G9" s="377">
        <f>'C&amp;C-Container &amp; Ro-Ro'!J69+'C&amp;C-Tankers'!J62+'C&amp;C-Tankers'!J78</f>
        <v>935351.00934198871</v>
      </c>
      <c r="H9" s="377">
        <f>'C&amp;C-Container &amp; Ro-Ro'!K69+'C&amp;C-Tankers'!K62+'C&amp;C-Tankers'!K78</f>
        <v>962773.37166944158</v>
      </c>
      <c r="I9" s="377">
        <f>'C&amp;C-Container &amp; Ro-Ro'!L69+'C&amp;C-Tankers'!L62+'C&amp;C-Tankers'!L78</f>
        <v>5594804.6895207567</v>
      </c>
      <c r="J9" s="377">
        <f>'C&amp;C-Container &amp; Ro-Ro'!M69+'C&amp;C-Tankers'!M62+'C&amp;C-Tankers'!M78</f>
        <v>5666246.4422579156</v>
      </c>
      <c r="K9" s="377">
        <f>'C&amp;C-Container &amp; Ro-Ro'!N69+'C&amp;C-Tankers'!N62+'C&amp;C-Tankers'!N78</f>
        <v>22433949.209641691</v>
      </c>
      <c r="L9" s="377">
        <f>'C&amp;C-Container &amp; Ro-Ro'!O69+'C&amp;C-Tankers'!O62+'C&amp;C-Tankers'!O78</f>
        <v>22686748.556793444</v>
      </c>
      <c r="M9" s="377">
        <f>'C&amp;C-Container &amp; Ro-Ro'!P69+'C&amp;C-Tankers'!P62+'C&amp;C-Tankers'!P78</f>
        <v>22963331.7607367</v>
      </c>
      <c r="N9" s="377">
        <f>'C&amp;C-Container &amp; Ro-Ro'!Q69+'C&amp;C-Tankers'!Q62+'C&amp;C-Tankers'!Q78</f>
        <v>23237947.744845614</v>
      </c>
      <c r="O9" s="547">
        <f t="shared" si="0"/>
        <v>104481152.78480755</v>
      </c>
      <c r="P9" s="478">
        <f t="shared" si="1"/>
        <v>4.4471238241612858E-2</v>
      </c>
    </row>
    <row r="10" spans="1:17" x14ac:dyDescent="0.25">
      <c r="A10" s="7" t="s">
        <v>400</v>
      </c>
      <c r="B10" s="377">
        <f>'C&amp;C-Tankers'!E63+'C&amp;C-Tankers'!E79</f>
        <v>928571.42857142852</v>
      </c>
      <c r="C10" s="377">
        <f>'C&amp;C-Tankers'!F63+'C&amp;C-Tankers'!F79</f>
        <v>928571.42857142852</v>
      </c>
      <c r="D10" s="377">
        <f>'C&amp;C-Tankers'!G63+'C&amp;C-Tankers'!G79</f>
        <v>2142857.1428571427</v>
      </c>
      <c r="E10" s="377">
        <f>'C&amp;C-Tankers'!H63+'C&amp;C-Tankers'!H79</f>
        <v>2142857.1428571427</v>
      </c>
      <c r="F10" s="377">
        <f>'C&amp;C-Tankers'!I63+'C&amp;C-Tankers'!I79</f>
        <v>2142857.1428571427</v>
      </c>
      <c r="G10" s="377">
        <f>'C&amp;C-Tankers'!J63+'C&amp;C-Tankers'!J79</f>
        <v>2142857.1428571427</v>
      </c>
      <c r="H10" s="377">
        <f>'C&amp;C-Tankers'!K63+'C&amp;C-Tankers'!K79</f>
        <v>2142857.1428571427</v>
      </c>
      <c r="I10" s="377">
        <f>'C&amp;C-Tankers'!L63+'C&amp;C-Tankers'!L79</f>
        <v>1214285.7142857143</v>
      </c>
      <c r="J10" s="377">
        <f>'C&amp;C-Tankers'!M63+'C&amp;C-Tankers'!M79</f>
        <v>1214285.7142857143</v>
      </c>
      <c r="K10" s="377">
        <f>'C&amp;C-Tankers'!N63+'C&amp;C-Tankers'!N79</f>
        <v>0</v>
      </c>
      <c r="L10" s="377">
        <f>'C&amp;C-Tankers'!O63+'C&amp;C-Tankers'!O79</f>
        <v>0</v>
      </c>
      <c r="M10" s="377">
        <f>'C&amp;C-Tankers'!P63+'C&amp;C-Tankers'!P79</f>
        <v>0</v>
      </c>
      <c r="N10" s="377">
        <f>'C&amp;C-Tankers'!Q63+'C&amp;C-Tankers'!Q79</f>
        <v>0</v>
      </c>
      <c r="O10" s="547">
        <f t="shared" si="0"/>
        <v>15000000</v>
      </c>
      <c r="P10" s="478">
        <f t="shared" si="1"/>
        <v>6.3845828251733296E-3</v>
      </c>
      <c r="Q10" s="752"/>
    </row>
    <row r="11" spans="1:17" x14ac:dyDescent="0.25">
      <c r="A11" s="535" t="s">
        <v>665</v>
      </c>
      <c r="B11" s="377">
        <f>'C&amp;C-Tankers'!E64+'C&amp;C-Tankers'!E80</f>
        <v>10478265.52897959</v>
      </c>
      <c r="C11" s="377">
        <f>'C&amp;C-Tankers'!F64+'C&amp;C-Tankers'!F80</f>
        <v>10478265.52897959</v>
      </c>
      <c r="D11" s="377">
        <f>'C&amp;C-Tankers'!G64+'C&amp;C-Tankers'!G80</f>
        <v>30009183.896326527</v>
      </c>
      <c r="E11" s="377">
        <f>'C&amp;C-Tankers'!H64+'C&amp;C-Tankers'!H80</f>
        <v>30009183.896326527</v>
      </c>
      <c r="F11" s="377">
        <f>'C&amp;C-Tankers'!I64+'C&amp;C-Tankers'!I80</f>
        <v>30009183.896326527</v>
      </c>
      <c r="G11" s="377">
        <f>'C&amp;C-Tankers'!J64+'C&amp;C-Tankers'!J80</f>
        <v>30009183.896326527</v>
      </c>
      <c r="H11" s="377">
        <f>'C&amp;C-Tankers'!K64+'C&amp;C-Tankers'!K80</f>
        <v>30009183.896326527</v>
      </c>
      <c r="I11" s="377">
        <f>'C&amp;C-Tankers'!L64+'C&amp;C-Tankers'!L80</f>
        <v>19530918.367346939</v>
      </c>
      <c r="J11" s="377">
        <f>'C&amp;C-Tankers'!M64+'C&amp;C-Tankers'!M80</f>
        <v>19530918.367346939</v>
      </c>
      <c r="K11" s="377">
        <f>'C&amp;C-Tankers'!N64+'C&amp;C-Tankers'!N80</f>
        <v>0</v>
      </c>
      <c r="L11" s="377">
        <f>'C&amp;C-Tankers'!O64+'C&amp;C-Tankers'!O80</f>
        <v>0</v>
      </c>
      <c r="M11" s="377">
        <f>'C&amp;C-Tankers'!P64+'C&amp;C-Tankers'!P80</f>
        <v>0</v>
      </c>
      <c r="N11" s="377">
        <f>'C&amp;C-Tankers'!Q64+'C&amp;C-Tankers'!Q80</f>
        <v>0</v>
      </c>
      <c r="O11" s="547">
        <f t="shared" si="0"/>
        <v>210064287.27428573</v>
      </c>
      <c r="P11" s="478">
        <f t="shared" si="1"/>
        <v>8.9411522714245406E-2</v>
      </c>
      <c r="Q11" s="753"/>
    </row>
    <row r="12" spans="1:17" x14ac:dyDescent="0.25">
      <c r="A12" s="535" t="s">
        <v>664</v>
      </c>
      <c r="B12" s="377">
        <f>'C&amp;C-Tankers'!E65+'C&amp;C-Tankers'!E81</f>
        <v>3492755.176326531</v>
      </c>
      <c r="C12" s="377">
        <f>'C&amp;C-Tankers'!F65+'C&amp;C-Tankers'!F81</f>
        <v>3492755.176326531</v>
      </c>
      <c r="D12" s="377">
        <f>'C&amp;C-Tankers'!G65+'C&amp;C-Tankers'!G81</f>
        <v>10003061.298775511</v>
      </c>
      <c r="E12" s="377">
        <f>'C&amp;C-Tankers'!H65+'C&amp;C-Tankers'!H81</f>
        <v>10003061.298775511</v>
      </c>
      <c r="F12" s="377">
        <f>'C&amp;C-Tankers'!I65+'C&amp;C-Tankers'!I81</f>
        <v>10003061.298775511</v>
      </c>
      <c r="G12" s="377">
        <f>'C&amp;C-Tankers'!J65+'C&amp;C-Tankers'!J81</f>
        <v>10003061.298775511</v>
      </c>
      <c r="H12" s="377">
        <f>'C&amp;C-Tankers'!K65+'C&amp;C-Tankers'!K81</f>
        <v>10003061.298775511</v>
      </c>
      <c r="I12" s="377">
        <f>'C&amp;C-Tankers'!L65+'C&amp;C-Tankers'!L81</f>
        <v>6510306.1224489799</v>
      </c>
      <c r="J12" s="377">
        <f>'C&amp;C-Tankers'!M65+'C&amp;C-Tankers'!M81</f>
        <v>6510306.1224489799</v>
      </c>
      <c r="K12" s="377">
        <f>'C&amp;C-Tankers'!N65+'C&amp;C-Tankers'!N81</f>
        <v>0</v>
      </c>
      <c r="L12" s="377">
        <f>'C&amp;C-Tankers'!O65+'C&amp;C-Tankers'!O81</f>
        <v>0</v>
      </c>
      <c r="M12" s="377">
        <f>'C&amp;C-Tankers'!P65+'C&amp;C-Tankers'!P81</f>
        <v>0</v>
      </c>
      <c r="N12" s="377">
        <f>'C&amp;C-Tankers'!Q65+'C&amp;C-Tankers'!Q81</f>
        <v>0</v>
      </c>
      <c r="O12" s="547">
        <f t="shared" si="0"/>
        <v>70021429.091428563</v>
      </c>
      <c r="P12" s="478">
        <f t="shared" si="1"/>
        <v>2.9803840904748465E-2</v>
      </c>
      <c r="Q12" s="527"/>
    </row>
    <row r="13" spans="1:17" x14ac:dyDescent="0.25">
      <c r="A13" s="535" t="s">
        <v>666</v>
      </c>
      <c r="B13" s="377">
        <f>'C&amp;C-Tankers'!E66+'C&amp;C-Tankers'!E82+'C&amp;C-Container &amp; Ro-Ro'!E65</f>
        <v>0</v>
      </c>
      <c r="C13" s="377">
        <f>'C&amp;C-Tankers'!F66+'C&amp;C-Tankers'!F82+'C&amp;C-Container &amp; Ro-Ro'!F65</f>
        <v>0</v>
      </c>
      <c r="D13" s="377">
        <f>'C&amp;C-Tankers'!G66+'C&amp;C-Tankers'!G82+'C&amp;C-Container &amp; Ro-Ro'!G65</f>
        <v>0</v>
      </c>
      <c r="E13" s="377">
        <f>'C&amp;C-Tankers'!H66+'C&amp;C-Tankers'!H82+'C&amp;C-Container &amp; Ro-Ro'!H65</f>
        <v>0</v>
      </c>
      <c r="F13" s="377">
        <f>'C&amp;C-Tankers'!I66+'C&amp;C-Tankers'!I82+'C&amp;C-Container &amp; Ro-Ro'!I65</f>
        <v>0</v>
      </c>
      <c r="G13" s="377">
        <f>'C&amp;C-Tankers'!J66+'C&amp;C-Tankers'!J82+'C&amp;C-Container &amp; Ro-Ro'!J65</f>
        <v>15053.753239862326</v>
      </c>
      <c r="H13" s="377">
        <f>'C&amp;C-Tankers'!K66+'C&amp;C-Tankers'!K82+'C&amp;C-Container &amp; Ro-Ro'!K65</f>
        <v>15495.0950159534</v>
      </c>
      <c r="I13" s="377">
        <f>'C&amp;C-Tankers'!L66+'C&amp;C-Tankers'!L82+'C&amp;C-Container &amp; Ro-Ro'!L65</f>
        <v>184791.56836416869</v>
      </c>
      <c r="J13" s="377">
        <f>'C&amp;C-Tankers'!M66+'C&amp;C-Tankers'!M82+'C&amp;C-Container &amp; Ro-Ro'!M65</f>
        <v>186947.96273888342</v>
      </c>
      <c r="K13" s="377">
        <f>'C&amp;C-Tankers'!N66+'C&amp;C-Tankers'!N82+'C&amp;C-Container &amp; Ro-Ro'!N65</f>
        <v>414658.53996977489</v>
      </c>
      <c r="L13" s="377">
        <f>'C&amp;C-Tankers'!O66+'C&amp;C-Tankers'!O82+'C&amp;C-Container &amp; Ro-Ro'!O65</f>
        <v>419301.37514107057</v>
      </c>
      <c r="M13" s="377">
        <f>'C&amp;C-Tankers'!P66+'C&amp;C-Tankers'!P82+'C&amp;C-Container &amp; Ro-Ro'!P65</f>
        <v>424385.22368944727</v>
      </c>
      <c r="N13" s="377">
        <f>'C&amp;C-Tankers'!Q66+'C&amp;C-Tankers'!Q82+'C&amp;C-Container &amp; Ro-Ro'!Q65</f>
        <v>429428.67539368896</v>
      </c>
      <c r="O13" s="547">
        <f t="shared" si="0"/>
        <v>2090062.1935528493</v>
      </c>
      <c r="P13" s="478">
        <f t="shared" si="1"/>
        <v>8.8961167896677452E-4</v>
      </c>
    </row>
    <row r="14" spans="1:17" x14ac:dyDescent="0.25">
      <c r="A14" s="7" t="s">
        <v>138</v>
      </c>
      <c r="B14" s="377">
        <f>SUM('C&amp;C-Container &amp; Ro-Ro'!E52,'C&amp;C-Container &amp; Ro-Ro'!E54)</f>
        <v>0</v>
      </c>
      <c r="C14" s="377">
        <f>SUM('C&amp;C-Container &amp; Ro-Ro'!F52,'C&amp;C-Container &amp; Ro-Ro'!F54)</f>
        <v>2211022.0819999003</v>
      </c>
      <c r="D14" s="377">
        <f>SUM('C&amp;C-Container &amp; Ro-Ro'!G52,'C&amp;C-Container &amp; Ro-Ro'!G54)</f>
        <v>2290228.5960638938</v>
      </c>
      <c r="E14" s="377">
        <f>SUM('C&amp;C-Container &amp; Ro-Ro'!H52,'C&amp;C-Container &amp; Ro-Ro'!H54)</f>
        <v>2374660.1884041871</v>
      </c>
      <c r="F14" s="377">
        <f>SUM('C&amp;C-Container &amp; Ro-Ro'!I52,'C&amp;C-Container &amp; Ro-Ro'!I54)</f>
        <v>2464421.0116913598</v>
      </c>
      <c r="G14" s="377">
        <f>SUM('C&amp;C-Container &amp; Ro-Ro'!J52,'C&amp;C-Container &amp; Ro-Ro'!J54)</f>
        <v>15940460.326777507</v>
      </c>
      <c r="H14" s="377">
        <f>SUM('C&amp;C-Container &amp; Ro-Ro'!K52,'C&amp;C-Container &amp; Ro-Ro'!K54)</f>
        <v>16478096.112154298</v>
      </c>
      <c r="I14" s="377">
        <f>SUM('C&amp;C-Container &amp; Ro-Ro'!L52,'C&amp;C-Container &amp; Ro-Ro'!L54)</f>
        <v>16948268.977993339</v>
      </c>
      <c r="J14" s="377">
        <f>SUM('C&amp;C-Container &amp; Ro-Ro'!M52,'C&amp;C-Container &amp; Ro-Ro'!M54)</f>
        <v>17342882.623428401</v>
      </c>
      <c r="K14" s="377">
        <f>SUM('C&amp;C-Container &amp; Ro-Ro'!N52,'C&amp;C-Container &amp; Ro-Ro'!N54)</f>
        <v>17750944.87577343</v>
      </c>
      <c r="L14" s="377">
        <f>SUM('C&amp;C-Container &amp; Ro-Ro'!O52,'C&amp;C-Container &amp; Ro-Ro'!O54)</f>
        <v>18172541.473121699</v>
      </c>
      <c r="M14" s="377">
        <f>SUM('C&amp;C-Container &amp; Ro-Ro'!P52,'C&amp;C-Container &amp; Ro-Ro'!P54)</f>
        <v>18607815.371109515</v>
      </c>
      <c r="N14" s="377">
        <f>SUM('C&amp;C-Container &amp; Ro-Ro'!Q52,'C&amp;C-Container &amp; Ro-Ro'!Q54)</f>
        <v>19122460.337041523</v>
      </c>
      <c r="O14" s="547">
        <f t="shared" si="0"/>
        <v>149703801.97555906</v>
      </c>
      <c r="P14" s="478">
        <f t="shared" ref="P14:P28" si="2">O14/O$29</f>
        <v>6.3719754863753572E-2</v>
      </c>
    </row>
    <row r="15" spans="1:17" x14ac:dyDescent="0.25">
      <c r="A15" s="7" t="s">
        <v>137</v>
      </c>
      <c r="B15" s="377">
        <f>SUM('SP Berth Retrofit'!E76:E77,'SP Berth Retrofit'!E84:E85)+SUM('SP Berth Retrofit'!E78:E79,'SP Berth Retrofit'!E88:E89)</f>
        <v>8658927.6161869317</v>
      </c>
      <c r="C15" s="377">
        <f>SUM('SP Berth Retrofit'!F76:F77,'SP Berth Retrofit'!F84:F85)+SUM('SP Berth Retrofit'!F78:F79,'SP Berth Retrofit'!F88:F89)</f>
        <v>8976730.7130849846</v>
      </c>
      <c r="D15" s="377">
        <f>SUM('SP Berth Retrofit'!G76:G77,'SP Berth Retrofit'!G84:G85)+SUM('SP Berth Retrofit'!G78:G79,'SP Berth Retrofit'!G88:G89)</f>
        <v>9307193.5509506054</v>
      </c>
      <c r="E15" s="377">
        <f>SUM('SP Berth Retrofit'!H76:H77,'SP Berth Retrofit'!H84:H85)+SUM('SP Berth Retrofit'!H78:H79,'SP Berth Retrofit'!H88:H89)</f>
        <v>9650745.3615741916</v>
      </c>
      <c r="F15" s="377">
        <f>SUM('SP Berth Retrofit'!I76:I77,'SP Berth Retrofit'!I84:I85)+SUM('SP Berth Retrofit'!I78:I79,'SP Berth Retrofit'!I88:I89)</f>
        <v>10007841.201827196</v>
      </c>
      <c r="G15" s="377">
        <f>SUM('SP Berth Retrofit'!J76:J77,'SP Berth Retrofit'!J84:J85)+SUM('SP Berth Retrofit'!J78:J79,'SP Berth Retrofit'!J88:J89)</f>
        <v>10397502.603333814</v>
      </c>
      <c r="H15" s="377">
        <f>SUM('SP Berth Retrofit'!K76:K77,'SP Berth Retrofit'!K84:K85)+SUM('SP Berth Retrofit'!K78:K79,'SP Berth Retrofit'!K88:K89)</f>
        <v>10766242.171116062</v>
      </c>
      <c r="I15" s="377">
        <f>SUM('SP Berth Retrofit'!L76:L77,'SP Berth Retrofit'!L84:L85)+SUM('SP Berth Retrofit'!L78:L79,'SP Berth Retrofit'!L88:L89)</f>
        <v>11150138.306788586</v>
      </c>
      <c r="J15" s="377">
        <f>SUM('SP Berth Retrofit'!M76:M77,'SP Berth Retrofit'!M84:M85)+SUM('SP Berth Retrofit'!M78:M79,'SP Berth Retrofit'!M88:M89)</f>
        <v>11549591.473098563</v>
      </c>
      <c r="K15" s="377">
        <f>SUM('SP Berth Retrofit'!N76:N77,'SP Berth Retrofit'!N84:N85)+SUM('SP Berth Retrofit'!N78:N79,'SP Berth Retrofit'!N88:N89)</f>
        <v>11965046.27011255</v>
      </c>
      <c r="L15" s="377">
        <f>SUM('SP Berth Retrofit'!O76:O77,'SP Berth Retrofit'!O84:O85)+SUM('SP Berth Retrofit'!O78:O79,'SP Berth Retrofit'!O88:O89)</f>
        <v>12396987.156011166</v>
      </c>
      <c r="M15" s="377">
        <f>SUM('SP Berth Retrofit'!P76:P77,'SP Berth Retrofit'!P84:P85)+SUM('SP Berth Retrofit'!P78:P79,'SP Berth Retrofit'!P88:P89)</f>
        <v>12867450.665802112</v>
      </c>
      <c r="N15" s="377">
        <f>SUM('SP Berth Retrofit'!Q76:Q77,'SP Berth Retrofit'!Q84:Q85)+SUM('SP Berth Retrofit'!Q78:Q79,'SP Berth Retrofit'!Q88:Q89)</f>
        <v>13355918.808122212</v>
      </c>
      <c r="O15" s="547">
        <f t="shared" si="0"/>
        <v>141050315.89800897</v>
      </c>
      <c r="P15" s="478">
        <f t="shared" si="2"/>
        <v>6.0036494957846714E-2</v>
      </c>
      <c r="Q15" s="360"/>
    </row>
    <row r="16" spans="1:17" x14ac:dyDescent="0.25">
      <c r="A16" s="7" t="s">
        <v>136</v>
      </c>
      <c r="B16" s="377">
        <f>SUM('SP Berth Retrofit'!E80:E81)+SUM('SP Berth Retrofit'!E82:E83)</f>
        <v>0</v>
      </c>
      <c r="C16" s="377">
        <f>SUM('SP Berth Retrofit'!F80:F81)+SUM('SP Berth Retrofit'!F82:F83)</f>
        <v>60114.821673651895</v>
      </c>
      <c r="D16" s="377">
        <f>SUM('SP Berth Retrofit'!G80:G81)+SUM('SP Berth Retrofit'!G82:G83)</f>
        <v>62327.467914994108</v>
      </c>
      <c r="E16" s="377">
        <f>SUM('SP Berth Retrofit'!H80:H81)+SUM('SP Berth Retrofit'!H82:H83)</f>
        <v>64621.555026541457</v>
      </c>
      <c r="F16" s="377">
        <f>SUM('SP Berth Retrofit'!I80:I81)+SUM('SP Berth Retrofit'!I82:I83)</f>
        <v>67000.080602403148</v>
      </c>
      <c r="G16" s="377">
        <f>SUM('SP Berth Retrofit'!J80:J81)+SUM('SP Berth Retrofit'!J82:J83)</f>
        <v>69466.152569135913</v>
      </c>
      <c r="H16" s="377">
        <f>SUM('SP Berth Retrofit'!K80:K81)+SUM('SP Berth Retrofit'!K82:K83)</f>
        <v>72022.993246748316</v>
      </c>
      <c r="I16" s="377">
        <f>SUM('SP Berth Retrofit'!L80:L81)+SUM('SP Berth Retrofit'!L82:L83)</f>
        <v>74673.943559181105</v>
      </c>
      <c r="J16" s="377">
        <f>SUM('SP Berth Retrofit'!M80:M81)+SUM('SP Berth Retrofit'!M82:M83)</f>
        <v>77422.467399764253</v>
      </c>
      <c r="K16" s="377">
        <f>SUM('SP Berth Retrofit'!N80:N81)+SUM('SP Berth Retrofit'!N82:N83)</f>
        <v>80272.156157347184</v>
      </c>
      <c r="L16" s="377">
        <f>SUM('SP Berth Retrofit'!O80:O81)+SUM('SP Berth Retrofit'!O82:O83)</f>
        <v>83226.733409030625</v>
      </c>
      <c r="M16" s="377">
        <f>SUM('SP Berth Retrofit'!P80:P81)+SUM('SP Berth Retrofit'!P82:P83)</f>
        <v>86290.059785616788</v>
      </c>
      <c r="N16" s="377">
        <f>SUM('SP Berth Retrofit'!Q80:Q81)+SUM('SP Berth Retrofit'!Q82:Q83)</f>
        <v>89466.1380161462</v>
      </c>
      <c r="O16" s="547">
        <f t="shared" si="0"/>
        <v>886904.56936056097</v>
      </c>
      <c r="P16" s="478">
        <f t="shared" si="2"/>
        <v>3.7750104540714574E-4</v>
      </c>
      <c r="Q16" s="360"/>
    </row>
    <row r="17" spans="1:19" x14ac:dyDescent="0.25">
      <c r="A17" s="7" t="s">
        <v>19</v>
      </c>
      <c r="B17" s="377">
        <f>SUM('SP Vessel Retrofit'!D28:D29)</f>
        <v>12899920.274610948</v>
      </c>
      <c r="C17" s="377">
        <f>SUM('SP Vessel Retrofit'!E28:E29)</f>
        <v>13837272.473882802</v>
      </c>
      <c r="D17" s="377">
        <f>SUM('SP Vessel Retrofit'!F28:F29)</f>
        <v>14339229.861811336</v>
      </c>
      <c r="E17" s="377">
        <f>SUM('SP Vessel Retrofit'!G28:G29)</f>
        <v>14867470.761213941</v>
      </c>
      <c r="F17" s="377">
        <f>SUM('SP Vessel Retrofit'!H28:H29)</f>
        <v>15422664.54363443</v>
      </c>
      <c r="G17" s="377">
        <f>SUM('SP Vessel Retrofit'!I28:I29)</f>
        <v>16005586.565257892</v>
      </c>
      <c r="H17" s="377">
        <f>SUM('SP Vessel Retrofit'!J28:J29)</f>
        <v>16767540.809856396</v>
      </c>
      <c r="I17" s="377">
        <f>SUM('SP Vessel Retrofit'!K28:K29)</f>
        <v>17271430.931041509</v>
      </c>
      <c r="J17" s="377">
        <f>SUM('SP Vessel Retrofit'!L28:L29)</f>
        <v>17806722.261423476</v>
      </c>
      <c r="K17" s="377">
        <f>SUM('SP Vessel Retrofit'!M28:M29)</f>
        <v>18373293.505836122</v>
      </c>
      <c r="L17" s="377">
        <f>SUM('SP Vessel Retrofit'!N28:N29)</f>
        <v>18971257.416188948</v>
      </c>
      <c r="M17" s="377">
        <f>SUM('SP Vessel Retrofit'!O28:O29)</f>
        <v>19600921.506804552</v>
      </c>
      <c r="N17" s="377">
        <f>SUM('SP Vessel Retrofit'!P28:P29)</f>
        <v>20437319.101801261</v>
      </c>
      <c r="O17" s="547">
        <f t="shared" si="0"/>
        <v>216600630.01336366</v>
      </c>
      <c r="P17" s="478">
        <f t="shared" si="2"/>
        <v>9.2193644153669638E-2</v>
      </c>
      <c r="Q17" s="336"/>
    </row>
    <row r="18" spans="1:19" x14ac:dyDescent="0.25">
      <c r="A18" s="7" t="s">
        <v>20</v>
      </c>
      <c r="B18" s="377">
        <f>SUM('SP Vessel Retrofit'!D30:D31)</f>
        <v>0</v>
      </c>
      <c r="C18" s="377">
        <f>SUM('SP Vessel Retrofit'!E30:E31)</f>
        <v>958460.31046923948</v>
      </c>
      <c r="D18" s="377">
        <f>SUM('SP Vessel Retrofit'!F30:F31)</f>
        <v>993092.22788046952</v>
      </c>
      <c r="E18" s="377">
        <f>SUM('SP Vessel Retrofit'!G30:G31)</f>
        <v>1029685.1301300435</v>
      </c>
      <c r="F18" s="377">
        <f>SUM('SP Vessel Retrofit'!H30:H31)</f>
        <v>1068284.9982079193</v>
      </c>
      <c r="G18" s="377">
        <f>SUM('SP Vessel Retrofit'!I30:I31)</f>
        <v>1108946.6555979215</v>
      </c>
      <c r="H18" s="377">
        <f>SUM('SP Vessel Retrofit'!J30:J31)</f>
        <v>1164955.2779830573</v>
      </c>
      <c r="I18" s="377">
        <f>SUM('SP Vessel Retrofit'!K30:K31)</f>
        <v>1197877.5811605614</v>
      </c>
      <c r="J18" s="377">
        <f>SUM('SP Vessel Retrofit'!L30:L31)</f>
        <v>1233141.5150872988</v>
      </c>
      <c r="K18" s="377">
        <f>SUM('SP Vessel Retrofit'!M30:M31)</f>
        <v>1270721.0181714615</v>
      </c>
      <c r="L18" s="377">
        <f>SUM('SP Vessel Retrofit'!N30:N31)</f>
        <v>1310610.0337525823</v>
      </c>
      <c r="M18" s="377">
        <f>SUM('SP Vessel Retrofit'!O30:O31)</f>
        <v>1352819.0362788611</v>
      </c>
      <c r="N18" s="377">
        <f>SUM('SP Vessel Retrofit'!P30:P31)</f>
        <v>1412715.5656647871</v>
      </c>
      <c r="O18" s="547">
        <f t="shared" si="0"/>
        <v>14101309.350384202</v>
      </c>
      <c r="P18" s="478">
        <f t="shared" si="2"/>
        <v>6.0020651660612706E-3</v>
      </c>
      <c r="Q18" s="337"/>
    </row>
    <row r="19" spans="1:19" x14ac:dyDescent="0.25">
      <c r="A19" s="7" t="s">
        <v>17</v>
      </c>
      <c r="B19" s="68">
        <v>0</v>
      </c>
      <c r="C19" s="377">
        <f>SUM('SP Labor &amp; Energy'!D115,'SP Labor &amp; Energy'!D112:D114)</f>
        <v>629602.51772046508</v>
      </c>
      <c r="D19" s="377">
        <f>SUM('SP Labor &amp; Energy'!E115,'SP Labor &amp; Energy'!E112:E114)</f>
        <v>649783.95138875232</v>
      </c>
      <c r="E19" s="377">
        <f>SUM('SP Labor &amp; Energy'!F115,'SP Labor &amp; Energy'!F112:F114)</f>
        <v>1389754.7827689811</v>
      </c>
      <c r="F19" s="377">
        <f>SUM('SP Labor &amp; Energy'!G115,'SP Labor &amp; Energy'!G112:G114)</f>
        <v>1445438.6819340626</v>
      </c>
      <c r="G19" s="377">
        <f>SUM('SP Labor &amp; Energy'!H115,'SP Labor &amp; Energy'!H112:H114)</f>
        <v>1512853.6886306941</v>
      </c>
      <c r="H19" s="377">
        <f>SUM('SP Labor &amp; Energy'!I115,'SP Labor &amp; Energy'!I112:I114)</f>
        <v>1563328.2962287955</v>
      </c>
      <c r="I19" s="377">
        <f>SUM('SP Labor &amp; Energy'!J115,'SP Labor &amp; Energy'!J112:J114)</f>
        <v>1620052.4567680252</v>
      </c>
      <c r="J19" s="377">
        <f>SUM('SP Labor &amp; Energy'!K115,'SP Labor &amp; Energy'!K112:K114)</f>
        <v>1681993.1148095536</v>
      </c>
      <c r="K19" s="377">
        <f>SUM('SP Labor &amp; Energy'!L115,'SP Labor &amp; Energy'!L112:L114)</f>
        <v>1752316.1287827748</v>
      </c>
      <c r="L19" s="377">
        <f>SUM('SP Labor &amp; Energy'!M115,'SP Labor &amp; Energy'!M112:M114)</f>
        <v>1825522.2295771388</v>
      </c>
      <c r="M19" s="377">
        <f>SUM('SP Labor &amp; Energy'!N115,'SP Labor &amp; Energy'!N112:N114)</f>
        <v>1900963.655312351</v>
      </c>
      <c r="N19" s="377">
        <f>SUM('SP Labor &amp; Energy'!O115,'SP Labor &amp; Energy'!O112:O114)</f>
        <v>1979567.0103066857</v>
      </c>
      <c r="O19" s="547">
        <f t="shared" si="0"/>
        <v>17951176.514228281</v>
      </c>
      <c r="P19" s="478">
        <f t="shared" si="2"/>
        <v>7.6407182176264484E-3</v>
      </c>
    </row>
    <row r="20" spans="1:19" x14ac:dyDescent="0.25">
      <c r="A20" s="7" t="s">
        <v>12</v>
      </c>
      <c r="B20" s="68">
        <v>0</v>
      </c>
      <c r="C20" s="377">
        <f>SUM('SP Labor &amp; Energy'!D118:D119)+SUM('SP Labor &amp; Energy'!D116:D117)</f>
        <v>724568.36262279982</v>
      </c>
      <c r="D20" s="377">
        <f>SUM('SP Labor &amp; Energy'!E118:E119)+SUM('SP Labor &amp; Energy'!E116:E117)</f>
        <v>751271.14416433382</v>
      </c>
      <c r="E20" s="377">
        <f>SUM('SP Labor &amp; Energy'!F118:F119)+SUM('SP Labor &amp; Energy'!F116:F117)</f>
        <v>779508.98715324176</v>
      </c>
      <c r="F20" s="377">
        <f>SUM('SP Labor &amp; Energy'!G118:G119)+SUM('SP Labor &amp; Energy'!G116:G117)</f>
        <v>809322.45852650376</v>
      </c>
      <c r="G20" s="377">
        <f>SUM('SP Labor &amp; Energy'!H118:H119)+SUM('SP Labor &amp; Energy'!H116:H117)</f>
        <v>851820.04487496195</v>
      </c>
      <c r="H20" s="377">
        <f>SUM('SP Labor &amp; Energy'!I118:I119)+SUM('SP Labor &amp; Energy'!I116:I117)</f>
        <v>874843.92308048531</v>
      </c>
      <c r="I20" s="377">
        <f>SUM('SP Labor &amp; Energy'!J118:J119)+SUM('SP Labor &amp; Energy'!J116:J117)</f>
        <v>899660.44766694657</v>
      </c>
      <c r="J20" s="377">
        <f>SUM('SP Labor &amp; Energy'!K118:K119)+SUM('SP Labor &amp; Energy'!K116:K117)</f>
        <v>926241.69560111407</v>
      </c>
      <c r="K20" s="377">
        <f>SUM('SP Labor &amp; Energy'!L118:L119)+SUM('SP Labor &amp; Energy'!L116:L117)</f>
        <v>954576.25408924394</v>
      </c>
      <c r="L20" s="377">
        <f>SUM('SP Labor &amp; Energy'!M118:M119)+SUM('SP Labor &amp; Energy'!M116:M117)</f>
        <v>984666.3061894984</v>
      </c>
      <c r="M20" s="377">
        <f>SUM('SP Labor &amp; Energy'!N118:N119)+SUM('SP Labor &amp; Energy'!N116:N117)</f>
        <v>1029361.0517340193</v>
      </c>
      <c r="N20" s="377">
        <f>SUM('SP Labor &amp; Energy'!O118:O119)+SUM('SP Labor &amp; Energy'!O116:O117)</f>
        <v>1076111.4932882329</v>
      </c>
      <c r="O20" s="547">
        <f t="shared" si="0"/>
        <v>10661952.168991383</v>
      </c>
      <c r="P20" s="478">
        <f t="shared" si="2"/>
        <v>4.5381411133974614E-3</v>
      </c>
      <c r="Q20" s="360"/>
    </row>
    <row r="21" spans="1:19" s="729" customFormat="1" x14ac:dyDescent="0.25">
      <c r="A21" s="725" t="s">
        <v>18</v>
      </c>
      <c r="B21" s="726">
        <v>0</v>
      </c>
      <c r="C21" s="377">
        <f>-SUM('SP Labor &amp; Energy'!D122:D123)</f>
        <v>-545549.10010193475</v>
      </c>
      <c r="D21" s="377">
        <f>-SUM('SP Labor &amp; Energy'!E122:E123)</f>
        <v>-588938.01837730198</v>
      </c>
      <c r="E21" s="377">
        <f>-SUM('SP Labor &amp; Energy'!F122:F123)</f>
        <v>-1318673.7396262528</v>
      </c>
      <c r="F21" s="377">
        <f>-SUM('SP Labor &amp; Energy'!G122:G123)</f>
        <v>-1437270.5163396134</v>
      </c>
      <c r="G21" s="377">
        <f>-SUM('SP Labor &amp; Energy'!H122:H123)</f>
        <v>-1553827.2950262961</v>
      </c>
      <c r="H21" s="377">
        <f>-SUM('SP Labor &amp; Energy'!I122:I123)</f>
        <v>-1645648.5131839013</v>
      </c>
      <c r="I21" s="377">
        <f>-SUM('SP Labor &amp; Energy'!J122:J123)</f>
        <v>-1758220.4958778927</v>
      </c>
      <c r="J21" s="377">
        <f>-SUM('SP Labor &amp; Energy'!K122:K123)</f>
        <v>-1881372.2395462317</v>
      </c>
      <c r="K21" s="377">
        <f>-SUM('SP Labor &amp; Energy'!L122:L123)</f>
        <v>-2015829.6515220269</v>
      </c>
      <c r="L21" s="377">
        <f>-SUM('SP Labor &amp; Energy'!M122:M123)</f>
        <v>-2145315.7012636233</v>
      </c>
      <c r="M21" s="377">
        <f>-SUM('SP Labor &amp; Energy'!N122:N123)</f>
        <v>-2311766.4303464703</v>
      </c>
      <c r="N21" s="377">
        <f>-SUM('SP Labor &amp; Energy'!O122:O123)</f>
        <v>-2469759.8882716005</v>
      </c>
      <c r="O21" s="727">
        <f t="shared" si="0"/>
        <v>-19672171.589483146</v>
      </c>
      <c r="P21" s="728">
        <f t="shared" si="2"/>
        <v>-8.373240590938455E-3</v>
      </c>
    </row>
    <row r="22" spans="1:19" s="729" customFormat="1" x14ac:dyDescent="0.25">
      <c r="A22" s="725" t="s">
        <v>141</v>
      </c>
      <c r="B22" s="726">
        <v>0</v>
      </c>
      <c r="C22" s="377">
        <f>-SUM('SP Labor &amp; Energy'!D124:D125)</f>
        <v>-226428.86156941182</v>
      </c>
      <c r="D22" s="377">
        <f>-SUM('SP Labor &amp; Energy'!E124:E125)</f>
        <v>-232374.18131350263</v>
      </c>
      <c r="E22" s="377">
        <f>-SUM('SP Labor &amp; Energy'!F124:F125)</f>
        <v>-495814.82102790655</v>
      </c>
      <c r="F22" s="377">
        <f>-SUM('SP Labor &amp; Energy'!G124:G125)</f>
        <v>-510876.48083403555</v>
      </c>
      <c r="G22" s="377">
        <f>-SUM('SP Labor &amp; Energy'!H124:H125)</f>
        <v>-507073.75072895369</v>
      </c>
      <c r="H22" s="377">
        <f>-SUM('SP Labor &amp; Energy'!I124:I125)</f>
        <v>-528800.03998005786</v>
      </c>
      <c r="I22" s="377">
        <f>-SUM('SP Labor &amp; Energy'!J124:J125)</f>
        <v>-553134.86321579362</v>
      </c>
      <c r="J22" s="377">
        <f>-SUM('SP Labor &amp; Energy'!K124:K125)</f>
        <v>-578206.46979123203</v>
      </c>
      <c r="K22" s="377">
        <f>-SUM('SP Labor &amp; Energy'!L124:L125)</f>
        <v>-605397.58308090281</v>
      </c>
      <c r="L22" s="377">
        <f>-SUM('SP Labor &amp; Energy'!M124:M125)</f>
        <v>-633193.69295953552</v>
      </c>
      <c r="M22" s="377">
        <f>-SUM('SP Labor &amp; Energy'!N124:N125)</f>
        <v>-671025.45850628195</v>
      </c>
      <c r="N22" s="377">
        <f>-SUM('SP Labor &amp; Energy'!O124:O125)</f>
        <v>-710898.71912627749</v>
      </c>
      <c r="O22" s="727">
        <f t="shared" si="0"/>
        <v>-6253224.9221338918</v>
      </c>
      <c r="P22" s="728">
        <f t="shared" si="2"/>
        <v>-2.661615495986792E-3</v>
      </c>
    </row>
    <row r="23" spans="1:19" s="729" customFormat="1" x14ac:dyDescent="0.25">
      <c r="A23" s="725" t="s">
        <v>55</v>
      </c>
      <c r="B23" s="377">
        <f>SUM(Admin!D66:D69)</f>
        <v>301294.466799421</v>
      </c>
      <c r="C23" s="377">
        <f>SUM(Admin!E66:E69)</f>
        <v>309442.62310038408</v>
      </c>
      <c r="D23" s="377">
        <f>SUM(Admin!F66:F69)</f>
        <v>0</v>
      </c>
      <c r="E23" s="377">
        <f>SUM(Admin!G66:G69)</f>
        <v>0</v>
      </c>
      <c r="F23" s="377">
        <f>SUM(Admin!H66:H69)</f>
        <v>0</v>
      </c>
      <c r="G23" s="377">
        <f>SUM(Admin!I66:I69)</f>
        <v>0</v>
      </c>
      <c r="H23" s="377">
        <f>SUM(Admin!J66:J69)</f>
        <v>0</v>
      </c>
      <c r="I23" s="377">
        <f>SUM(Admin!K66:K69)</f>
        <v>0</v>
      </c>
      <c r="J23" s="377">
        <f>SUM(Admin!L66:L69)</f>
        <v>0</v>
      </c>
      <c r="K23" s="377">
        <f>SUM(Admin!M66:M69)</f>
        <v>0</v>
      </c>
      <c r="L23" s="377">
        <f>SUM(Admin!N66:N69)</f>
        <v>0</v>
      </c>
      <c r="M23" s="377">
        <f>SUM(Admin!O66:O69)</f>
        <v>0</v>
      </c>
      <c r="N23" s="377">
        <f>SUM(Admin!P66:P69)</f>
        <v>0</v>
      </c>
      <c r="O23" s="727">
        <f t="shared" si="0"/>
        <v>610737.08989980514</v>
      </c>
      <c r="P23" s="728">
        <f t="shared" si="2"/>
        <v>2.5995343565804241E-4</v>
      </c>
    </row>
    <row r="24" spans="1:19" x14ac:dyDescent="0.25">
      <c r="A24" s="7" t="s">
        <v>56</v>
      </c>
      <c r="B24" s="377">
        <f>SUM(Admin!D70:D74)</f>
        <v>169712.02884469851</v>
      </c>
      <c r="C24" s="377">
        <f>SUM(Admin!E70:E74)</f>
        <v>174783.44867925032</v>
      </c>
      <c r="D24" s="377">
        <f>SUM(Admin!F70:F74)</f>
        <v>0</v>
      </c>
      <c r="E24" s="377">
        <f>SUM(Admin!G70:G74)</f>
        <v>31995.489896976902</v>
      </c>
      <c r="F24" s="377">
        <f>SUM(Admin!H70:H74)</f>
        <v>32930.085212198843</v>
      </c>
      <c r="G24" s="377">
        <f>SUM(Admin!I70:I74)</f>
        <v>17214.88198444726</v>
      </c>
      <c r="H24" s="377">
        <f>SUM(Admin!J70:J74)</f>
        <v>17403.550861712058</v>
      </c>
      <c r="I24" s="377">
        <f>SUM(Admin!K70:K74)</f>
        <v>22999.287739757481</v>
      </c>
      <c r="J24" s="377">
        <f>SUM(Admin!L70:L74)</f>
        <v>23243.631445003935</v>
      </c>
      <c r="K24" s="377">
        <f>SUM(Admin!M70:M74)</f>
        <v>0</v>
      </c>
      <c r="L24" s="377">
        <f>SUM(Admin!N70:N74)</f>
        <v>0</v>
      </c>
      <c r="M24" s="377">
        <f>SUM(Admin!O70:O74)</f>
        <v>0</v>
      </c>
      <c r="N24" s="377">
        <f>SUM(Admin!P70:P74)</f>
        <v>0</v>
      </c>
      <c r="O24" s="547">
        <f t="shared" si="0"/>
        <v>490282.40466404532</v>
      </c>
      <c r="P24" s="478">
        <f t="shared" si="2"/>
        <v>2.0868324135351628E-4</v>
      </c>
    </row>
    <row r="25" spans="1:19" x14ac:dyDescent="0.25">
      <c r="A25" s="7" t="s">
        <v>57</v>
      </c>
      <c r="B25" s="68">
        <v>0</v>
      </c>
      <c r="C25" s="377">
        <f>SUM(Admin!E81:E85,Admin!E86)</f>
        <v>897260.10510939837</v>
      </c>
      <c r="D25" s="377">
        <f>SUM(Admin!F81:F85,Admin!F86)</f>
        <v>920750.52289637411</v>
      </c>
      <c r="E25" s="377">
        <f>SUM(Admin!G81:G85,Admin!G86)</f>
        <v>945495.6973064692</v>
      </c>
      <c r="F25" s="377">
        <f>SUM(Admin!H81:H85,Admin!H86)</f>
        <v>971529.22296268248</v>
      </c>
      <c r="G25" s="377">
        <f>SUM(Admin!I81:I85,Admin!I86)</f>
        <v>1007570.2356405923</v>
      </c>
      <c r="H25" s="377">
        <f>SUM(Admin!J81:J85,Admin!J86)</f>
        <v>1028878.1036766247</v>
      </c>
      <c r="I25" s="377">
        <f>SUM(Admin!K81:K85,Admin!K86)</f>
        <v>1050676.2806652293</v>
      </c>
      <c r="J25" s="377">
        <f>SUM(Admin!L81:L85,Admin!L86)</f>
        <v>1073861.5092113358</v>
      </c>
      <c r="K25" s="377">
        <f>SUM(Admin!M81:M85,Admin!M86)</f>
        <v>1098423.5200582577</v>
      </c>
      <c r="L25" s="377">
        <f>SUM(Admin!N81:N85,Admin!N86)</f>
        <v>1124362.6380137349</v>
      </c>
      <c r="M25" s="377">
        <f>SUM(Admin!O81:O85,Admin!O86)</f>
        <v>1162058.1379131901</v>
      </c>
      <c r="N25" s="377">
        <f>SUM(Admin!P81:P85,Admin!P86)</f>
        <v>1201209.7350892485</v>
      </c>
      <c r="O25" s="547">
        <f t="shared" si="0"/>
        <v>12482075.708543137</v>
      </c>
      <c r="P25" s="478">
        <f t="shared" si="2"/>
        <v>5.3128564127518487E-3</v>
      </c>
    </row>
    <row r="26" spans="1:19" x14ac:dyDescent="0.25">
      <c r="A26" s="7" t="s">
        <v>58</v>
      </c>
      <c r="B26" s="68">
        <v>0</v>
      </c>
      <c r="C26" s="377">
        <f>SUM(Admin!E75:E79,Admin!E80)</f>
        <v>897260.10510939837</v>
      </c>
      <c r="D26" s="377">
        <f>SUM(Admin!F75:F79,Admin!F80)</f>
        <v>920750.52289637411</v>
      </c>
      <c r="E26" s="377">
        <f>SUM(Admin!G75:G79,Admin!G80)</f>
        <v>945495.6973064692</v>
      </c>
      <c r="F26" s="377">
        <f>SUM(Admin!H75:H79,Admin!H80)</f>
        <v>971529.22296268248</v>
      </c>
      <c r="G26" s="377">
        <f>SUM(Admin!I75:I79,Admin!I80)</f>
        <v>1007570.2356405923</v>
      </c>
      <c r="H26" s="377">
        <f>SUM(Admin!J75:J79,Admin!J80)</f>
        <v>1028878.1036766247</v>
      </c>
      <c r="I26" s="377">
        <f>SUM(Admin!K75:K79,Admin!K80)</f>
        <v>1050676.2806652293</v>
      </c>
      <c r="J26" s="377">
        <f>SUM(Admin!L75:L79,Admin!L80)</f>
        <v>1073861.5092113358</v>
      </c>
      <c r="K26" s="377">
        <f>SUM(Admin!M75:M79,Admin!M80)</f>
        <v>1098423.5200582577</v>
      </c>
      <c r="L26" s="377">
        <f>SUM(Admin!N75:N79,Admin!N80)</f>
        <v>1124362.6380137349</v>
      </c>
      <c r="M26" s="377">
        <f>SUM(Admin!O75:O79,Admin!O80)</f>
        <v>1162058.1379131901</v>
      </c>
      <c r="N26" s="377">
        <f>SUM(Admin!P75:P79,Admin!P80)</f>
        <v>1201209.7350892485</v>
      </c>
      <c r="O26" s="547">
        <f t="shared" si="0"/>
        <v>12482075.708543137</v>
      </c>
      <c r="P26" s="478">
        <f t="shared" si="2"/>
        <v>5.3128564127518487E-3</v>
      </c>
    </row>
    <row r="27" spans="1:19" x14ac:dyDescent="0.25">
      <c r="A27" s="7" t="s">
        <v>142</v>
      </c>
      <c r="B27" s="68">
        <v>0</v>
      </c>
      <c r="C27" s="377">
        <f>SUM(Remediation!B47:B51)+SUM(Remediation!B40:B44)</f>
        <v>2514122.7737487596</v>
      </c>
      <c r="D27" s="377">
        <f>SUM(Remediation!C47:C51)+SUM(Remediation!C40:C44)</f>
        <v>2606781.5692303847</v>
      </c>
      <c r="E27" s="377">
        <f>SUM(Remediation!D47:D51)+SUM(Remediation!D40:D44)</f>
        <v>2704847.7104494842</v>
      </c>
      <c r="F27" s="377">
        <f>SUM(Remediation!E47:E51)+SUM(Remediation!E40:E44)</f>
        <v>2808462.6064189868</v>
      </c>
      <c r="G27" s="377">
        <f>SUM(Remediation!F47:F51)+SUM(Remediation!F40:F44)</f>
        <v>3153347.6194703667</v>
      </c>
      <c r="H27" s="377">
        <f>SUM(Remediation!G47:G51)+SUM(Remediation!G40:G44)</f>
        <v>3237834.1684116684</v>
      </c>
      <c r="I27" s="377">
        <f>SUM(Remediation!H47:H51)+SUM(Remediation!H40:H44)</f>
        <v>4271238.3108906401</v>
      </c>
      <c r="J27" s="377">
        <f>SUM(Remediation!I47:I51)+SUM(Remediation!I40:I44)</f>
        <v>4377220.4134396827</v>
      </c>
      <c r="K27" s="377">
        <f>SUM(Remediation!J47:J51)+SUM(Remediation!J40:J44)</f>
        <v>5504381.2324728668</v>
      </c>
      <c r="L27" s="377">
        <f>SUM(Remediation!K47:K51)+SUM(Remediation!K40:K44)</f>
        <v>5634075.8759309342</v>
      </c>
      <c r="M27" s="377">
        <f>SUM(Remediation!L47:L51)+SUM(Remediation!L40:L44)</f>
        <v>5818849.1684073824</v>
      </c>
      <c r="N27" s="377">
        <f>SUM(Remediation!M47:M51)+SUM(Remediation!M40:M44)</f>
        <v>6010507.5625901381</v>
      </c>
      <c r="O27" s="547">
        <f t="shared" si="0"/>
        <v>48641669.011461295</v>
      </c>
      <c r="P27" s="530">
        <f t="shared" si="2"/>
        <v>2.0703784303889437E-2</v>
      </c>
    </row>
    <row r="28" spans="1:19" s="267" customFormat="1" ht="15.75" thickBot="1" x14ac:dyDescent="0.3">
      <c r="A28" s="536" t="s">
        <v>495</v>
      </c>
      <c r="B28" s="537">
        <f>Admin!D117</f>
        <v>277000</v>
      </c>
      <c r="C28" s="537">
        <f>Admin!E117</f>
        <v>1935000</v>
      </c>
      <c r="D28" s="537">
        <f>Admin!F117</f>
        <v>1839000</v>
      </c>
      <c r="E28" s="537">
        <f>Admin!G117</f>
        <v>1839000</v>
      </c>
      <c r="F28" s="537">
        <f>Admin!H117</f>
        <v>1839000</v>
      </c>
      <c r="G28" s="537">
        <f>Admin!I117</f>
        <v>1839000</v>
      </c>
      <c r="H28" s="537">
        <f>Admin!J117</f>
        <v>1839000</v>
      </c>
      <c r="I28" s="537">
        <f>Admin!K117</f>
        <v>2019000</v>
      </c>
      <c r="J28" s="537">
        <f>Admin!L117</f>
        <v>2018000</v>
      </c>
      <c r="K28" s="537">
        <f>Admin!M117</f>
        <v>2018000</v>
      </c>
      <c r="L28" s="537">
        <f>Admin!N117</f>
        <v>2018000</v>
      </c>
      <c r="M28" s="537">
        <f>Admin!O117</f>
        <v>2018000</v>
      </c>
      <c r="N28" s="537">
        <f>Admin!P117</f>
        <v>2018000</v>
      </c>
      <c r="O28" s="548">
        <f t="shared" si="0"/>
        <v>23516000</v>
      </c>
      <c r="P28" s="604">
        <f t="shared" si="2"/>
        <v>1.0009323314451734E-2</v>
      </c>
    </row>
    <row r="29" spans="1:19" s="18" customFormat="1" ht="15.75" thickTop="1" x14ac:dyDescent="0.25">
      <c r="A29" s="722" t="s">
        <v>8</v>
      </c>
      <c r="B29" s="335">
        <f t="shared" ref="B29:P29" si="3">SUM(B6:B28)</f>
        <v>37206446.520319551</v>
      </c>
      <c r="C29" s="335">
        <f t="shared" si="3"/>
        <v>48253254.509407252</v>
      </c>
      <c r="D29" s="335">
        <f t="shared" si="3"/>
        <v>76014199.553465888</v>
      </c>
      <c r="E29" s="335">
        <f t="shared" si="3"/>
        <v>76963895.138535544</v>
      </c>
      <c r="F29" s="335">
        <f t="shared" si="3"/>
        <v>123022146.83141886</v>
      </c>
      <c r="G29" s="335">
        <f t="shared" si="3"/>
        <v>139264474.82466033</v>
      </c>
      <c r="H29" s="335">
        <f t="shared" si="3"/>
        <v>239481840.2519899</v>
      </c>
      <c r="I29" s="335">
        <f t="shared" si="3"/>
        <v>249887717.68458155</v>
      </c>
      <c r="J29" s="335">
        <f t="shared" si="3"/>
        <v>253151505.03015706</v>
      </c>
      <c r="K29" s="335">
        <f t="shared" si="3"/>
        <v>270324812.77680242</v>
      </c>
      <c r="L29" s="335">
        <f t="shared" si="3"/>
        <v>274235455.6346851</v>
      </c>
      <c r="M29" s="335">
        <f t="shared" si="3"/>
        <v>278508873.99319279</v>
      </c>
      <c r="N29" s="335">
        <f t="shared" si="3"/>
        <v>283094948.82960838</v>
      </c>
      <c r="O29" s="721">
        <f t="shared" si="3"/>
        <v>2349409571.5788255</v>
      </c>
      <c r="P29" s="467">
        <f t="shared" si="3"/>
        <v>0.99999999999999933</v>
      </c>
      <c r="Q29" s="334"/>
      <c r="R29" s="724"/>
      <c r="S29" s="724"/>
    </row>
    <row r="30" spans="1:19" s="18" customFormat="1" hidden="1" x14ac:dyDescent="0.25">
      <c r="B30" s="332"/>
      <c r="C30" s="332"/>
      <c r="D30" s="332"/>
      <c r="E30" s="332"/>
      <c r="F30" s="332"/>
      <c r="G30" s="332"/>
      <c r="H30" s="332"/>
      <c r="I30" s="332"/>
      <c r="J30" s="332"/>
      <c r="K30" s="332"/>
      <c r="L30" s="332"/>
      <c r="M30" s="332"/>
      <c r="N30" s="335" t="s">
        <v>480</v>
      </c>
      <c r="O30" s="335" t="e">
        <f>Summary!#REF!</f>
        <v>#REF!</v>
      </c>
      <c r="P30" s="334"/>
      <c r="Q30" s="334"/>
    </row>
    <row r="31" spans="1:19" hidden="1" x14ac:dyDescent="0.25">
      <c r="A31" s="466" t="s">
        <v>480</v>
      </c>
      <c r="B31" s="545">
        <f>Summary!D63</f>
        <v>37206446.520319544</v>
      </c>
      <c r="C31" s="545">
        <f>Summary!E63</f>
        <v>48253254.509407237</v>
      </c>
      <c r="D31" s="545">
        <f>Summary!F63</f>
        <v>76014199.553465903</v>
      </c>
      <c r="E31" s="545">
        <f>Summary!G63</f>
        <v>76963895.138535559</v>
      </c>
      <c r="F31" s="545">
        <f>Summary!H63</f>
        <v>123022146.83141887</v>
      </c>
      <c r="G31" s="545" t="e">
        <f>Summary!#REF!</f>
        <v>#REF!</v>
      </c>
      <c r="H31" s="545" t="e">
        <f>Summary!#REF!</f>
        <v>#REF!</v>
      </c>
      <c r="I31" s="545" t="e">
        <f>Summary!#REF!</f>
        <v>#REF!</v>
      </c>
      <c r="J31" s="545" t="e">
        <f>Summary!#REF!</f>
        <v>#REF!</v>
      </c>
      <c r="K31" s="545" t="e">
        <f>Summary!#REF!</f>
        <v>#REF!</v>
      </c>
      <c r="L31" s="545" t="e">
        <f>Summary!#REF!</f>
        <v>#REF!</v>
      </c>
      <c r="M31" s="545" t="e">
        <f>Summary!#REF!</f>
        <v>#REF!</v>
      </c>
      <c r="N31" s="545">
        <f>Summary!I63</f>
        <v>283094948.8296085</v>
      </c>
      <c r="O31" s="549" t="e">
        <f>O30-O29</f>
        <v>#REF!</v>
      </c>
      <c r="P31" s="621"/>
    </row>
    <row r="32" spans="1:19" x14ac:dyDescent="0.25">
      <c r="A32" s="166"/>
      <c r="B32" s="476">
        <f>B31-B29</f>
        <v>0</v>
      </c>
      <c r="C32" s="476">
        <f t="shared" ref="C32:N32" si="4">C31-C29</f>
        <v>0</v>
      </c>
      <c r="D32" s="476">
        <f t="shared" si="4"/>
        <v>0</v>
      </c>
      <c r="E32" s="476">
        <f t="shared" si="4"/>
        <v>0</v>
      </c>
      <c r="F32" s="476">
        <f t="shared" si="4"/>
        <v>0</v>
      </c>
      <c r="G32" s="476" t="e">
        <f t="shared" si="4"/>
        <v>#REF!</v>
      </c>
      <c r="H32" s="476" t="e">
        <f t="shared" si="4"/>
        <v>#REF!</v>
      </c>
      <c r="I32" s="476" t="e">
        <f t="shared" si="4"/>
        <v>#REF!</v>
      </c>
      <c r="J32" s="476" t="e">
        <f t="shared" si="4"/>
        <v>#REF!</v>
      </c>
      <c r="K32" s="476" t="e">
        <f t="shared" si="4"/>
        <v>#REF!</v>
      </c>
      <c r="L32" s="476" t="e">
        <f t="shared" si="4"/>
        <v>#REF!</v>
      </c>
      <c r="M32" s="476" t="e">
        <f t="shared" si="4"/>
        <v>#REF!</v>
      </c>
      <c r="N32" s="476">
        <f t="shared" si="4"/>
        <v>0</v>
      </c>
      <c r="O32" s="546"/>
    </row>
  </sheetData>
  <sheetProtection algorithmName="SHA-512" hashValue="gdKruVhg1STHhOZq2p5BWEBdBb4nBfTrdNpBSeF/4D3LwjiTYZCZT5Hkp+DAivVQYmEA0SzGNWmcQtLPFj52aA==" saltValue="3AVAAiyT60ldi9qHB518fA==" spinCount="100000" sheet="1" objects="1" scenarios="1"/>
  <mergeCells count="4">
    <mergeCell ref="Q10:Q11"/>
    <mergeCell ref="C1:E1"/>
    <mergeCell ref="C2:E2"/>
    <mergeCell ref="C3:E3"/>
  </mergeCells>
  <pageMargins left="0.7" right="0.7" top="0.75" bottom="0.75" header="0.3" footer="0.3"/>
  <pageSetup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4" tint="0.59999389629810485"/>
  </sheetPr>
  <dimension ref="A1:K82"/>
  <sheetViews>
    <sheetView topLeftCell="A10" zoomScaleNormal="100" zoomScaleSheetLayoutView="80" workbookViewId="0">
      <selection activeCell="E35" sqref="E35"/>
    </sheetView>
  </sheetViews>
  <sheetFormatPr defaultColWidth="9.140625" defaultRowHeight="15" x14ac:dyDescent="0.25"/>
  <cols>
    <col min="1" max="1" width="17.28515625" style="1" customWidth="1"/>
    <col min="2" max="4" width="15.7109375" style="1" customWidth="1"/>
    <col min="5" max="5" width="17.42578125" style="1" customWidth="1"/>
    <col min="6" max="6" width="17.28515625" style="1" customWidth="1"/>
    <col min="7" max="7" width="17.42578125" style="1" customWidth="1"/>
    <col min="8" max="8" width="16.5703125" style="1" customWidth="1"/>
    <col min="9" max="9" width="15.7109375" style="1" customWidth="1"/>
    <col min="10" max="11" width="17.28515625" style="1" bestFit="1" customWidth="1"/>
    <col min="12" max="16384" width="9.140625" style="1"/>
  </cols>
  <sheetData>
    <row r="1" spans="1:8" ht="18.75" x14ac:dyDescent="0.3">
      <c r="A1" s="2" t="s">
        <v>76</v>
      </c>
    </row>
    <row r="3" spans="1:8" ht="16.5" x14ac:dyDescent="0.25">
      <c r="A3" s="81" t="s">
        <v>929</v>
      </c>
      <c r="B3" s="729"/>
      <c r="C3" s="729"/>
      <c r="D3" s="729"/>
      <c r="E3" s="729"/>
      <c r="F3" s="729"/>
      <c r="G3" s="729"/>
    </row>
    <row r="4" spans="1:8" s="76" customFormat="1" ht="30.75" thickBot="1" x14ac:dyDescent="0.3">
      <c r="A4" s="79" t="s">
        <v>80</v>
      </c>
      <c r="B4" s="80" t="s">
        <v>13</v>
      </c>
      <c r="C4" s="80" t="s">
        <v>14</v>
      </c>
      <c r="D4" s="80" t="s">
        <v>822</v>
      </c>
      <c r="E4" s="80" t="s">
        <v>302</v>
      </c>
      <c r="F4" s="80" t="s">
        <v>796</v>
      </c>
      <c r="G4" s="80" t="s">
        <v>84</v>
      </c>
    </row>
    <row r="5" spans="1:8" ht="15.75" thickTop="1" x14ac:dyDescent="0.25">
      <c r="A5" s="497">
        <v>2020</v>
      </c>
      <c r="B5" s="739">
        <v>8255000</v>
      </c>
      <c r="C5" s="739">
        <v>13706000</v>
      </c>
      <c r="D5" s="739">
        <v>138000</v>
      </c>
      <c r="E5" s="739">
        <v>15107000</v>
      </c>
      <c r="F5" s="739">
        <v>0</v>
      </c>
      <c r="G5" s="739">
        <v>37206000</v>
      </c>
    </row>
    <row r="6" spans="1:8" x14ac:dyDescent="0.25">
      <c r="A6" s="497">
        <v>2021</v>
      </c>
      <c r="B6" s="739">
        <v>15639000</v>
      </c>
      <c r="C6" s="739">
        <v>15504000</v>
      </c>
      <c r="D6" s="739">
        <v>498000</v>
      </c>
      <c r="E6" s="739">
        <v>16403000</v>
      </c>
      <c r="F6" s="739">
        <v>209000</v>
      </c>
      <c r="G6" s="739">
        <v>48253000</v>
      </c>
    </row>
    <row r="7" spans="1:8" x14ac:dyDescent="0.25">
      <c r="A7" s="497">
        <v>2022</v>
      </c>
      <c r="B7" s="739">
        <v>15926000</v>
      </c>
      <c r="C7" s="739">
        <v>15990000</v>
      </c>
      <c r="D7" s="739">
        <v>396000</v>
      </c>
      <c r="E7" s="739">
        <v>43494000</v>
      </c>
      <c r="F7" s="739">
        <v>209000</v>
      </c>
      <c r="G7" s="739">
        <v>76014000</v>
      </c>
    </row>
    <row r="8" spans="1:8" x14ac:dyDescent="0.25">
      <c r="A8" s="497">
        <v>2023</v>
      </c>
      <c r="B8" s="739">
        <v>16172000</v>
      </c>
      <c r="C8" s="739">
        <v>16652000</v>
      </c>
      <c r="D8" s="739">
        <v>435000</v>
      </c>
      <c r="E8" s="739">
        <v>43496000</v>
      </c>
      <c r="F8" s="739">
        <v>209000</v>
      </c>
      <c r="G8" s="739">
        <v>76964000</v>
      </c>
    </row>
    <row r="9" spans="1:8" x14ac:dyDescent="0.25">
      <c r="A9" s="497">
        <v>2024</v>
      </c>
      <c r="B9" s="739">
        <v>16745000</v>
      </c>
      <c r="C9" s="739">
        <v>17220000</v>
      </c>
      <c r="D9" s="739">
        <v>1499000</v>
      </c>
      <c r="E9" s="739">
        <v>87350000</v>
      </c>
      <c r="F9" s="739">
        <v>209000</v>
      </c>
      <c r="G9" s="739">
        <v>123022000</v>
      </c>
    </row>
    <row r="10" spans="1:8" x14ac:dyDescent="0.25">
      <c r="A10" s="497">
        <v>2025</v>
      </c>
      <c r="B10" s="739">
        <v>17448000</v>
      </c>
      <c r="C10" s="739">
        <v>17836000</v>
      </c>
      <c r="D10" s="739">
        <v>16053000</v>
      </c>
      <c r="E10" s="739">
        <v>87719000</v>
      </c>
      <c r="F10" s="739">
        <v>209000</v>
      </c>
      <c r="G10" s="739">
        <v>139264000</v>
      </c>
    </row>
    <row r="11" spans="1:8" x14ac:dyDescent="0.25">
      <c r="A11" s="497">
        <v>2026</v>
      </c>
      <c r="B11" s="739">
        <v>18232000</v>
      </c>
      <c r="C11" s="739">
        <v>18457000</v>
      </c>
      <c r="D11" s="739">
        <v>16519000</v>
      </c>
      <c r="E11" s="739">
        <v>186066000</v>
      </c>
      <c r="F11" s="739">
        <v>209000</v>
      </c>
      <c r="G11" s="739">
        <v>239482000</v>
      </c>
    </row>
    <row r="12" spans="1:8" x14ac:dyDescent="0.25">
      <c r="A12" s="497">
        <v>2027</v>
      </c>
      <c r="B12" s="739">
        <v>18740000</v>
      </c>
      <c r="C12" s="739">
        <v>19107000</v>
      </c>
      <c r="D12" s="739">
        <v>17027000</v>
      </c>
      <c r="E12" s="739">
        <v>194806000</v>
      </c>
      <c r="F12" s="739">
        <v>209000</v>
      </c>
      <c r="G12" s="739">
        <v>249888000</v>
      </c>
    </row>
    <row r="13" spans="1:8" x14ac:dyDescent="0.25">
      <c r="A13" s="497">
        <v>2028</v>
      </c>
      <c r="B13" s="739">
        <v>19197000</v>
      </c>
      <c r="C13" s="739">
        <v>19761000</v>
      </c>
      <c r="D13" s="739">
        <v>17410000</v>
      </c>
      <c r="E13" s="739">
        <v>196575000</v>
      </c>
      <c r="F13" s="739">
        <v>209000</v>
      </c>
      <c r="G13" s="739">
        <v>253152000</v>
      </c>
    </row>
    <row r="14" spans="1:8" x14ac:dyDescent="0.25">
      <c r="A14" s="497">
        <v>2029</v>
      </c>
      <c r="B14" s="739">
        <v>19694000</v>
      </c>
      <c r="C14" s="739">
        <v>20439000</v>
      </c>
      <c r="D14" s="739">
        <v>17801000</v>
      </c>
      <c r="E14" s="739">
        <v>212182000</v>
      </c>
      <c r="F14" s="739">
        <v>209000</v>
      </c>
      <c r="G14" s="739">
        <v>270325000</v>
      </c>
    </row>
    <row r="15" spans="1:8" x14ac:dyDescent="0.25">
      <c r="A15" s="497">
        <v>2030</v>
      </c>
      <c r="B15" s="739">
        <v>20233000</v>
      </c>
      <c r="C15" s="739">
        <v>21149000</v>
      </c>
      <c r="D15" s="739">
        <v>18202000</v>
      </c>
      <c r="E15" s="739">
        <v>214444000</v>
      </c>
      <c r="F15" s="739">
        <v>209000</v>
      </c>
      <c r="G15" s="739">
        <v>274235000</v>
      </c>
      <c r="H15" s="291"/>
    </row>
    <row r="16" spans="1:8" x14ac:dyDescent="0.25">
      <c r="A16" s="737">
        <v>2031</v>
      </c>
      <c r="B16" s="739">
        <v>20890000</v>
      </c>
      <c r="C16" s="739">
        <v>21863000</v>
      </c>
      <c r="D16" s="739">
        <v>18612000</v>
      </c>
      <c r="E16" s="739">
        <v>216935000</v>
      </c>
      <c r="F16" s="739">
        <v>209000</v>
      </c>
      <c r="G16" s="739">
        <v>278509000</v>
      </c>
      <c r="H16" s="292"/>
    </row>
    <row r="17" spans="1:8" ht="15.75" thickBot="1" x14ac:dyDescent="0.3">
      <c r="A17" s="286">
        <v>2032</v>
      </c>
      <c r="B17" s="740">
        <v>21833000</v>
      </c>
      <c r="C17" s="740">
        <v>22614000</v>
      </c>
      <c r="D17" s="740">
        <v>19047000</v>
      </c>
      <c r="E17" s="740">
        <v>219392000</v>
      </c>
      <c r="F17" s="740">
        <v>209000</v>
      </c>
      <c r="G17" s="740">
        <v>283095000</v>
      </c>
    </row>
    <row r="18" spans="1:8" ht="15.75" thickTop="1" x14ac:dyDescent="0.25">
      <c r="A18" s="77" t="s">
        <v>8</v>
      </c>
      <c r="B18" s="741">
        <v>229004000</v>
      </c>
      <c r="C18" s="741">
        <v>240298000</v>
      </c>
      <c r="D18" s="741">
        <v>143635000</v>
      </c>
      <c r="E18" s="741">
        <v>1733969000</v>
      </c>
      <c r="F18" s="741">
        <v>2503000</v>
      </c>
      <c r="G18" s="741">
        <v>2349410000</v>
      </c>
      <c r="H18" s="318"/>
    </row>
    <row r="19" spans="1:8" x14ac:dyDescent="0.25">
      <c r="A19" s="287"/>
      <c r="B19" s="288"/>
      <c r="C19" s="288"/>
      <c r="D19" s="288"/>
      <c r="E19" s="288"/>
      <c r="F19" s="288"/>
      <c r="G19" s="288"/>
      <c r="H19" s="289"/>
    </row>
    <row r="20" spans="1:8" ht="16.5" x14ac:dyDescent="0.25">
      <c r="A20" s="81" t="s">
        <v>36</v>
      </c>
      <c r="B20" s="640"/>
      <c r="C20" s="640"/>
      <c r="D20" s="640"/>
      <c r="E20" s="640"/>
      <c r="F20" s="640"/>
      <c r="G20" s="640"/>
    </row>
    <row r="21" spans="1:8" s="76" customFormat="1" ht="30.75" thickBot="1" x14ac:dyDescent="0.3">
      <c r="A21" s="79" t="s">
        <v>80</v>
      </c>
      <c r="B21" s="80" t="s">
        <v>13</v>
      </c>
      <c r="C21" s="80" t="s">
        <v>14</v>
      </c>
      <c r="D21" s="80" t="s">
        <v>822</v>
      </c>
      <c r="E21" s="80" t="s">
        <v>302</v>
      </c>
      <c r="F21" s="80" t="s">
        <v>796</v>
      </c>
      <c r="G21" s="80" t="s">
        <v>84</v>
      </c>
    </row>
    <row r="22" spans="1:8" ht="15.75" thickTop="1" x14ac:dyDescent="0.25">
      <c r="A22" s="497">
        <v>2020</v>
      </c>
      <c r="B22" s="739">
        <v>8869000</v>
      </c>
      <c r="C22" s="739">
        <v>13706000</v>
      </c>
      <c r="D22" s="739">
        <v>138000</v>
      </c>
      <c r="E22" s="739">
        <v>10640000</v>
      </c>
      <c r="F22" s="739">
        <v>0</v>
      </c>
      <c r="G22" s="739">
        <v>33353000</v>
      </c>
    </row>
    <row r="23" spans="1:8" x14ac:dyDescent="0.25">
      <c r="A23" s="497">
        <v>2021</v>
      </c>
      <c r="B23" s="739">
        <v>14169000</v>
      </c>
      <c r="C23" s="739">
        <v>15504000</v>
      </c>
      <c r="D23" s="739">
        <v>138000</v>
      </c>
      <c r="E23" s="739">
        <v>11936000</v>
      </c>
      <c r="F23" s="739">
        <v>209000</v>
      </c>
      <c r="G23" s="739">
        <v>41956000</v>
      </c>
    </row>
    <row r="24" spans="1:8" x14ac:dyDescent="0.25">
      <c r="A24" s="497">
        <v>2022</v>
      </c>
      <c r="B24" s="739">
        <v>14404000</v>
      </c>
      <c r="C24" s="739">
        <v>15990000</v>
      </c>
      <c r="D24" s="739">
        <v>498000</v>
      </c>
      <c r="E24" s="739">
        <v>25413000</v>
      </c>
      <c r="F24" s="739">
        <v>209000</v>
      </c>
      <c r="G24" s="739">
        <v>56514000</v>
      </c>
    </row>
    <row r="25" spans="1:8" x14ac:dyDescent="0.25">
      <c r="A25" s="497">
        <v>2023</v>
      </c>
      <c r="B25" s="739">
        <v>14594000</v>
      </c>
      <c r="C25" s="739">
        <v>16652000</v>
      </c>
      <c r="D25" s="739">
        <v>396000</v>
      </c>
      <c r="E25" s="739">
        <v>25415000</v>
      </c>
      <c r="F25" s="739">
        <v>209000</v>
      </c>
      <c r="G25" s="739">
        <v>57266000</v>
      </c>
    </row>
    <row r="26" spans="1:8" x14ac:dyDescent="0.25">
      <c r="A26" s="497">
        <v>2024</v>
      </c>
      <c r="B26" s="739">
        <v>15107000</v>
      </c>
      <c r="C26" s="739">
        <v>17220000</v>
      </c>
      <c r="D26" s="739">
        <v>147346000</v>
      </c>
      <c r="E26" s="739">
        <v>60465000</v>
      </c>
      <c r="F26" s="739">
        <v>209000</v>
      </c>
      <c r="G26" s="739">
        <v>240346000</v>
      </c>
    </row>
    <row r="27" spans="1:8" x14ac:dyDescent="0.25">
      <c r="A27" s="497">
        <v>2025</v>
      </c>
      <c r="B27" s="739">
        <v>15747000</v>
      </c>
      <c r="C27" s="739">
        <v>17836000</v>
      </c>
      <c r="D27" s="739">
        <v>149544000</v>
      </c>
      <c r="E27" s="739">
        <v>60764000</v>
      </c>
      <c r="F27" s="739">
        <v>209000</v>
      </c>
      <c r="G27" s="739">
        <v>244100000</v>
      </c>
    </row>
    <row r="28" spans="1:8" x14ac:dyDescent="0.25">
      <c r="A28" s="497">
        <v>2026</v>
      </c>
      <c r="B28" s="739">
        <v>16434000</v>
      </c>
      <c r="C28" s="739">
        <v>18457000</v>
      </c>
      <c r="D28" s="739">
        <v>153355000</v>
      </c>
      <c r="E28" s="739">
        <v>254487000</v>
      </c>
      <c r="F28" s="739">
        <v>209000</v>
      </c>
      <c r="G28" s="739">
        <v>442941000</v>
      </c>
    </row>
    <row r="29" spans="1:8" x14ac:dyDescent="0.25">
      <c r="A29" s="497">
        <v>2027</v>
      </c>
      <c r="B29" s="739">
        <v>16897000</v>
      </c>
      <c r="C29" s="739">
        <v>19107000</v>
      </c>
      <c r="D29" s="739">
        <v>157449000</v>
      </c>
      <c r="E29" s="739">
        <v>244402000</v>
      </c>
      <c r="F29" s="739">
        <v>209000</v>
      </c>
      <c r="G29" s="739">
        <v>438064000</v>
      </c>
    </row>
    <row r="30" spans="1:8" x14ac:dyDescent="0.25">
      <c r="A30" s="497">
        <v>2028</v>
      </c>
      <c r="B30" s="739">
        <v>17307000</v>
      </c>
      <c r="C30" s="739">
        <v>19761000</v>
      </c>
      <c r="D30" s="739">
        <v>160723000</v>
      </c>
      <c r="E30" s="739">
        <v>246373000</v>
      </c>
      <c r="F30" s="739">
        <v>209000</v>
      </c>
      <c r="G30" s="739">
        <v>444373000</v>
      </c>
    </row>
    <row r="31" spans="1:8" x14ac:dyDescent="0.25">
      <c r="A31" s="497">
        <v>2029</v>
      </c>
      <c r="B31" s="739">
        <v>17752000</v>
      </c>
      <c r="C31" s="739">
        <v>20439000</v>
      </c>
      <c r="D31" s="739">
        <v>164039000</v>
      </c>
      <c r="E31" s="739">
        <v>230735000</v>
      </c>
      <c r="F31" s="739">
        <v>209000</v>
      </c>
      <c r="G31" s="739">
        <v>433173000</v>
      </c>
    </row>
    <row r="32" spans="1:8" x14ac:dyDescent="0.25">
      <c r="A32" s="497">
        <v>2030</v>
      </c>
      <c r="B32" s="739">
        <v>18234000</v>
      </c>
      <c r="C32" s="739">
        <v>21149000</v>
      </c>
      <c r="D32" s="739">
        <v>167490000</v>
      </c>
      <c r="E32" s="739">
        <v>232407000</v>
      </c>
      <c r="F32" s="739">
        <v>209000</v>
      </c>
      <c r="G32" s="739">
        <v>439488000</v>
      </c>
    </row>
    <row r="33" spans="1:7" x14ac:dyDescent="0.25">
      <c r="A33" s="737">
        <v>2031</v>
      </c>
      <c r="B33" s="739">
        <v>18833000</v>
      </c>
      <c r="C33" s="739">
        <v>21863000</v>
      </c>
      <c r="D33" s="739">
        <v>170869000</v>
      </c>
      <c r="E33" s="739">
        <v>234266000</v>
      </c>
      <c r="F33" s="739">
        <v>209000</v>
      </c>
      <c r="G33" s="739">
        <v>446039000</v>
      </c>
    </row>
    <row r="34" spans="1:7" ht="15.75" thickBot="1" x14ac:dyDescent="0.3">
      <c r="A34" s="286">
        <v>2032</v>
      </c>
      <c r="B34" s="740">
        <v>19677000</v>
      </c>
      <c r="C34" s="740">
        <v>22614000</v>
      </c>
      <c r="D34" s="740">
        <v>174540000</v>
      </c>
      <c r="E34" s="740">
        <v>236386000</v>
      </c>
      <c r="F34" s="740">
        <v>209000</v>
      </c>
      <c r="G34" s="740">
        <v>453426000</v>
      </c>
    </row>
    <row r="35" spans="1:7" ht="15.75" thickTop="1" x14ac:dyDescent="0.25">
      <c r="A35" s="77" t="s">
        <v>8</v>
      </c>
      <c r="B35" s="741">
        <v>208025000</v>
      </c>
      <c r="C35" s="741">
        <v>240298000</v>
      </c>
      <c r="D35" s="741">
        <v>1446525000</v>
      </c>
      <c r="E35" s="741">
        <v>1873688000</v>
      </c>
      <c r="F35" s="741">
        <v>2503000</v>
      </c>
      <c r="G35" s="741">
        <v>3771038000</v>
      </c>
    </row>
    <row r="36" spans="1:7" x14ac:dyDescent="0.25">
      <c r="A36" s="287"/>
      <c r="B36" s="288"/>
      <c r="C36" s="288"/>
      <c r="D36" s="288"/>
      <c r="E36" s="288"/>
      <c r="F36" s="288"/>
      <c r="G36" s="288"/>
    </row>
    <row r="37" spans="1:7" ht="16.5" x14ac:dyDescent="0.25">
      <c r="A37" s="81" t="s">
        <v>37</v>
      </c>
      <c r="B37" s="729"/>
      <c r="C37" s="729"/>
      <c r="D37" s="729"/>
      <c r="E37" s="729"/>
      <c r="F37" s="729"/>
      <c r="G37" s="729"/>
    </row>
    <row r="38" spans="1:7" s="76" customFormat="1" ht="30.75" thickBot="1" x14ac:dyDescent="0.3">
      <c r="A38" s="79" t="s">
        <v>80</v>
      </c>
      <c r="B38" s="80" t="s">
        <v>13</v>
      </c>
      <c r="C38" s="80" t="s">
        <v>14</v>
      </c>
      <c r="D38" s="80" t="s">
        <v>822</v>
      </c>
      <c r="E38" s="80" t="s">
        <v>302</v>
      </c>
      <c r="F38" s="80" t="s">
        <v>796</v>
      </c>
      <c r="G38" s="80" t="s">
        <v>84</v>
      </c>
    </row>
    <row r="39" spans="1:7" ht="15.75" thickTop="1" x14ac:dyDescent="0.25">
      <c r="A39" s="497">
        <v>2020</v>
      </c>
      <c r="B39" s="739">
        <v>8255000</v>
      </c>
      <c r="C39" s="739">
        <v>13706000</v>
      </c>
      <c r="D39" s="739">
        <v>0</v>
      </c>
      <c r="E39" s="739">
        <v>15107000</v>
      </c>
      <c r="F39" s="739">
        <v>0</v>
      </c>
      <c r="G39" s="739">
        <v>37068000</v>
      </c>
    </row>
    <row r="40" spans="1:7" x14ac:dyDescent="0.25">
      <c r="A40" s="497">
        <v>2021</v>
      </c>
      <c r="B40" s="739">
        <v>15639000</v>
      </c>
      <c r="C40" s="739">
        <v>15504000</v>
      </c>
      <c r="D40" s="739">
        <v>234000</v>
      </c>
      <c r="E40" s="739">
        <v>16403000</v>
      </c>
      <c r="F40" s="739">
        <v>209000</v>
      </c>
      <c r="G40" s="739">
        <v>47989000</v>
      </c>
    </row>
    <row r="41" spans="1:7" x14ac:dyDescent="0.25">
      <c r="A41" s="497">
        <v>2022</v>
      </c>
      <c r="B41" s="739">
        <v>15926000</v>
      </c>
      <c r="C41" s="739">
        <v>15990000</v>
      </c>
      <c r="D41" s="739">
        <v>241000</v>
      </c>
      <c r="E41" s="739">
        <v>43494000</v>
      </c>
      <c r="F41" s="739">
        <v>209000</v>
      </c>
      <c r="G41" s="739">
        <v>75859000</v>
      </c>
    </row>
    <row r="42" spans="1:7" x14ac:dyDescent="0.25">
      <c r="A42" s="497">
        <v>2023</v>
      </c>
      <c r="B42" s="739">
        <v>16172000</v>
      </c>
      <c r="C42" s="739">
        <v>16652000</v>
      </c>
      <c r="D42" s="739">
        <v>248000</v>
      </c>
      <c r="E42" s="739">
        <v>43496000</v>
      </c>
      <c r="F42" s="739">
        <v>209000</v>
      </c>
      <c r="G42" s="739">
        <v>76777000</v>
      </c>
    </row>
    <row r="43" spans="1:7" x14ac:dyDescent="0.25">
      <c r="A43" s="497">
        <v>2024</v>
      </c>
      <c r="B43" s="739">
        <v>16745000</v>
      </c>
      <c r="C43" s="739">
        <v>17220000</v>
      </c>
      <c r="D43" s="739">
        <v>255000</v>
      </c>
      <c r="E43" s="739">
        <v>87350000</v>
      </c>
      <c r="F43" s="739">
        <v>209000</v>
      </c>
      <c r="G43" s="739">
        <v>121779000</v>
      </c>
    </row>
    <row r="44" spans="1:7" x14ac:dyDescent="0.25">
      <c r="A44" s="497">
        <v>2025</v>
      </c>
      <c r="B44" s="739">
        <v>17448000</v>
      </c>
      <c r="C44" s="739">
        <v>17836000</v>
      </c>
      <c r="D44" s="739">
        <v>263000</v>
      </c>
      <c r="E44" s="739">
        <v>87719000</v>
      </c>
      <c r="F44" s="739">
        <v>209000</v>
      </c>
      <c r="G44" s="739">
        <v>123474000</v>
      </c>
    </row>
    <row r="45" spans="1:7" x14ac:dyDescent="0.25">
      <c r="A45" s="497">
        <v>2026</v>
      </c>
      <c r="B45" s="739">
        <v>18232000</v>
      </c>
      <c r="C45" s="739">
        <v>18457000</v>
      </c>
      <c r="D45" s="739">
        <v>270000</v>
      </c>
      <c r="E45" s="739">
        <v>186066000</v>
      </c>
      <c r="F45" s="739">
        <v>209000</v>
      </c>
      <c r="G45" s="739">
        <v>223233000</v>
      </c>
    </row>
    <row r="46" spans="1:7" x14ac:dyDescent="0.25">
      <c r="A46" s="497">
        <v>2027</v>
      </c>
      <c r="B46" s="739">
        <v>18740000</v>
      </c>
      <c r="C46" s="739">
        <v>19107000</v>
      </c>
      <c r="D46" s="739">
        <v>276000</v>
      </c>
      <c r="E46" s="739">
        <v>194806000</v>
      </c>
      <c r="F46" s="739">
        <v>209000</v>
      </c>
      <c r="G46" s="739">
        <v>233137000</v>
      </c>
    </row>
    <row r="47" spans="1:7" x14ac:dyDescent="0.25">
      <c r="A47" s="497">
        <v>2028</v>
      </c>
      <c r="B47" s="739">
        <v>19197000</v>
      </c>
      <c r="C47" s="739">
        <v>19761000</v>
      </c>
      <c r="D47" s="739">
        <v>283000</v>
      </c>
      <c r="E47" s="739">
        <v>196575000</v>
      </c>
      <c r="F47" s="739">
        <v>209000</v>
      </c>
      <c r="G47" s="739">
        <v>236025000</v>
      </c>
    </row>
    <row r="48" spans="1:7" x14ac:dyDescent="0.25">
      <c r="A48" s="497">
        <v>2029</v>
      </c>
      <c r="B48" s="739">
        <v>19694000</v>
      </c>
      <c r="C48" s="739">
        <v>20439000</v>
      </c>
      <c r="D48" s="739">
        <v>289000</v>
      </c>
      <c r="E48" s="739">
        <v>212182000</v>
      </c>
      <c r="F48" s="739">
        <v>209000</v>
      </c>
      <c r="G48" s="739">
        <v>252813000</v>
      </c>
    </row>
    <row r="49" spans="1:11" x14ac:dyDescent="0.25">
      <c r="A49" s="497">
        <v>2030</v>
      </c>
      <c r="B49" s="739">
        <v>20233000</v>
      </c>
      <c r="C49" s="739">
        <v>21149000</v>
      </c>
      <c r="D49" s="739">
        <v>296000</v>
      </c>
      <c r="E49" s="739">
        <v>214444000</v>
      </c>
      <c r="F49" s="739">
        <v>209000</v>
      </c>
      <c r="G49" s="739">
        <v>256329000</v>
      </c>
    </row>
    <row r="50" spans="1:11" x14ac:dyDescent="0.25">
      <c r="A50" s="737">
        <v>2031</v>
      </c>
      <c r="B50" s="739">
        <v>20890000</v>
      </c>
      <c r="C50" s="739">
        <v>21863000</v>
      </c>
      <c r="D50" s="739">
        <v>303000</v>
      </c>
      <c r="E50" s="739">
        <v>216935000</v>
      </c>
      <c r="F50" s="739">
        <v>209000</v>
      </c>
      <c r="G50" s="739">
        <v>260200000</v>
      </c>
    </row>
    <row r="51" spans="1:11" ht="15.75" thickBot="1" x14ac:dyDescent="0.3">
      <c r="A51" s="286">
        <v>2032</v>
      </c>
      <c r="B51" s="740">
        <v>21833000</v>
      </c>
      <c r="C51" s="740">
        <v>22614000</v>
      </c>
      <c r="D51" s="740">
        <v>310000</v>
      </c>
      <c r="E51" s="740">
        <v>219392000</v>
      </c>
      <c r="F51" s="740">
        <v>209000</v>
      </c>
      <c r="G51" s="740">
        <v>264358000</v>
      </c>
    </row>
    <row r="52" spans="1:11" ht="15.75" thickTop="1" x14ac:dyDescent="0.25">
      <c r="A52" s="77" t="s">
        <v>8</v>
      </c>
      <c r="B52" s="741">
        <v>229004000</v>
      </c>
      <c r="C52" s="741">
        <v>240298000</v>
      </c>
      <c r="D52" s="741">
        <v>3268000</v>
      </c>
      <c r="E52" s="741">
        <v>1733969000</v>
      </c>
      <c r="F52" s="741">
        <v>2503000</v>
      </c>
      <c r="G52" s="741">
        <v>2209042000</v>
      </c>
    </row>
    <row r="53" spans="1:11" x14ac:dyDescent="0.25">
      <c r="A53" s="287"/>
      <c r="B53" s="288"/>
      <c r="C53" s="288"/>
      <c r="D53" s="288"/>
      <c r="E53" s="288"/>
      <c r="F53" s="288"/>
      <c r="G53" s="288"/>
    </row>
    <row r="54" spans="1:11" x14ac:dyDescent="0.25">
      <c r="A54" s="287"/>
      <c r="B54" s="290"/>
      <c r="C54" s="290"/>
      <c r="D54" s="290"/>
      <c r="E54" s="290"/>
      <c r="F54" s="290"/>
      <c r="G54" s="290"/>
      <c r="K54" s="289"/>
    </row>
    <row r="55" spans="1:11" hidden="1" x14ac:dyDescent="0.25">
      <c r="A55" s="621" t="s">
        <v>818</v>
      </c>
    </row>
    <row r="56" spans="1:11" s="333" customFormat="1" ht="17.25" hidden="1" thickBot="1" x14ac:dyDescent="0.3">
      <c r="A56" s="766" t="s">
        <v>929</v>
      </c>
      <c r="B56" s="767"/>
      <c r="C56" s="768"/>
      <c r="D56" s="458">
        <v>2020</v>
      </c>
      <c r="E56" s="458">
        <v>2021</v>
      </c>
      <c r="F56" s="458">
        <v>2022</v>
      </c>
      <c r="G56" s="458">
        <v>2023</v>
      </c>
      <c r="H56" s="458">
        <v>2024</v>
      </c>
      <c r="I56" s="458">
        <v>2032</v>
      </c>
      <c r="J56" s="458" t="s">
        <v>8</v>
      </c>
    </row>
    <row r="57" spans="1:11" s="305" customFormat="1" ht="15.75" hidden="1" thickTop="1" x14ac:dyDescent="0.25">
      <c r="A57" s="769" t="s">
        <v>81</v>
      </c>
      <c r="B57" s="770"/>
      <c r="C57" s="771"/>
      <c r="D57" s="459">
        <f>'C&amp;C-Container &amp; Ro-Ro'!E93+'SP Berth Retrofit'!E131+'SP Vessel Retrofit'!D50+Admin!D103</f>
        <v>8254819.5156240929</v>
      </c>
      <c r="E57" s="459">
        <f>'C&amp;C-Container &amp; Ro-Ro'!F93+'SP Berth Retrofit'!F131+'SP Vessel Retrofit'!E50+'SP Labor &amp; Energy'!D167-'SP Labor &amp; Energy'!D173+Admin!E103+Remediation!B58</f>
        <v>15638956.897216221</v>
      </c>
      <c r="F57" s="459">
        <f>'C&amp;C-Container &amp; Ro-Ro'!G93+'SP Berth Retrofit'!G131+'SP Vessel Retrofit'!F50+'SP Labor &amp; Energy'!E167-'SP Labor &amp; Energy'!E173+Admin!F103+Remediation!C58</f>
        <v>15926047.188902181</v>
      </c>
      <c r="G57" s="459">
        <f>'C&amp;C-Container &amp; Ro-Ro'!H93+'SP Berth Retrofit'!H131+'SP Vessel Retrofit'!G50+'SP Labor &amp; Energy'!F167-'SP Labor &amp; Energy'!F173+Admin!G103+Remediation!D58</f>
        <v>16171900.331707623</v>
      </c>
      <c r="H57" s="459">
        <f>'C&amp;C-Container &amp; Ro-Ro'!I93+'SP Berth Retrofit'!I131+'SP Vessel Retrofit'!H50+'SP Labor &amp; Energy'!G167-'SP Labor &amp; Energy'!G173+Admin!H103+Remediation!E58</f>
        <v>16745166.329508405</v>
      </c>
      <c r="I57" s="459">
        <f>'C&amp;C-Container &amp; Ro-Ro'!Q93+'SP Berth Retrofit'!Q131+'SP Vessel Retrofit'!P50+'SP Labor &amp; Energy'!O167-'SP Labor &amp; Energy'!O173+Admin!P103+Remediation!M58</f>
        <v>21833323.931031395</v>
      </c>
      <c r="J57" s="459">
        <f t="shared" ref="J57:J62" si="0">SUM(D57:I57)</f>
        <v>94570214.193989918</v>
      </c>
    </row>
    <row r="58" spans="1:11" s="305" customFormat="1" hidden="1" x14ac:dyDescent="0.25">
      <c r="A58" s="757" t="s">
        <v>14</v>
      </c>
      <c r="B58" s="758"/>
      <c r="C58" s="759"/>
      <c r="D58" s="459">
        <f>'SP Berth Retrofit'!E132+'SP Vessel Retrofit'!D51+Admin!D104</f>
        <v>13706103.954774424</v>
      </c>
      <c r="E58" s="459">
        <f>'SP Berth Retrofit'!F132+'SP Vessel Retrofit'!E51+'SP Labor &amp; Energy'!D168-'SP Labor &amp; Energy'!D174+Admin!E104+Remediation!B59</f>
        <v>15504350.663824126</v>
      </c>
      <c r="F58" s="459">
        <f>'SP Berth Retrofit'!G132+'SP Vessel Retrofit'!F51+'SP Labor &amp; Energy'!E168-'SP Labor &amp; Energy'!E174+Admin!F104+Remediation!C59</f>
        <v>15990207.651720969</v>
      </c>
      <c r="G58" s="459">
        <f>'SP Berth Retrofit'!H132+'SP Vessel Retrofit'!G51+'SP Labor &amp; Energy'!F168-'SP Labor &amp; Energy'!F174+Admin!G104+Remediation!D59</f>
        <v>16652418.240617076</v>
      </c>
      <c r="H58" s="459">
        <f>'SP Berth Retrofit'!I132+'SP Vessel Retrofit'!H51+'SP Labor &amp; Energy'!G168-'SP Labor &amp; Energy'!G174+Admin!H104+Remediation!E59</f>
        <v>17219797.482890181</v>
      </c>
      <c r="I58" s="459">
        <f>'SP Berth Retrofit'!Q132+'SP Vessel Retrofit'!P51+'SP Labor &amp; Energy'!O168-'SP Labor &amp; Energy'!O174+Admin!P104+Remediation!M59</f>
        <v>22613945.76329276</v>
      </c>
      <c r="J58" s="460">
        <f t="shared" si="0"/>
        <v>101686823.75711954</v>
      </c>
    </row>
    <row r="59" spans="1:11" s="305" customFormat="1" hidden="1" x14ac:dyDescent="0.25">
      <c r="A59" s="757" t="s">
        <v>822</v>
      </c>
      <c r="B59" s="758"/>
      <c r="C59" s="759"/>
      <c r="D59" s="459">
        <f>'C&amp;C-Container &amp; Ro-Ro'!E94+Admin!D105</f>
        <v>138263.57376639877</v>
      </c>
      <c r="E59" s="459">
        <f>'C&amp;C-Container &amp; Ro-Ro'!F94+Admin!E105+Remediation!B60</f>
        <v>498049.78477678169</v>
      </c>
      <c r="F59" s="459">
        <f>'C&amp;C-Container &amp; Ro-Ro'!G94+Admin!F105+Remediation!C60</f>
        <v>395653.91841736488</v>
      </c>
      <c r="G59" s="459">
        <f>'C&amp;C-Container &amp; Ro-Ro'!H94+Admin!G105+Remediation!D60</f>
        <v>434660.73039518215</v>
      </c>
      <c r="H59" s="459">
        <f>'C&amp;C-Container &amp; Ro-Ro'!I94+Admin!H105+Remediation!E60</f>
        <v>1498578.5720449435</v>
      </c>
      <c r="I59" s="459">
        <f>'C&amp;C-Container &amp; Ro-Ro'!Q94+Admin!P105+Remediation!M60</f>
        <v>19047175.700483058</v>
      </c>
      <c r="J59" s="459">
        <f t="shared" si="0"/>
        <v>22012382.279883727</v>
      </c>
    </row>
    <row r="60" spans="1:11" s="305" customFormat="1" hidden="1" x14ac:dyDescent="0.25">
      <c r="A60" s="757" t="s">
        <v>520</v>
      </c>
      <c r="B60" s="758"/>
      <c r="C60" s="759"/>
      <c r="D60" s="460">
        <f>'C&amp;C-Tankers'!E105+Admin!D106</f>
        <v>15047093.897325817</v>
      </c>
      <c r="E60" s="460">
        <f>'C&amp;C-Tankers'!F105+Admin!E106+Remediation!B61</f>
        <v>15590928.168233294</v>
      </c>
      <c r="F60" s="460">
        <f>'C&amp;C-Tankers'!G105+Admin!F106+Remediation!C61</f>
        <v>15461058.053546822</v>
      </c>
      <c r="G60" s="460">
        <f>'C&amp;C-Tankers'!H105+Admin!G106+Remediation!D61</f>
        <v>15462049.555248417</v>
      </c>
      <c r="H60" s="460">
        <f>'C&amp;C-Tankers'!I105+Admin!H106+Remediation!E61</f>
        <v>59314081.190683052</v>
      </c>
      <c r="I60" s="460">
        <f>'C&amp;C-Tankers'!Q105+Admin!P106+Remediation!M61</f>
        <v>71613402.706493363</v>
      </c>
      <c r="J60" s="459">
        <f t="shared" si="0"/>
        <v>192488613.57153076</v>
      </c>
    </row>
    <row r="61" spans="1:11" s="305" customFormat="1" hidden="1" x14ac:dyDescent="0.25">
      <c r="A61" s="757" t="s">
        <v>566</v>
      </c>
      <c r="B61" s="758"/>
      <c r="C61" s="759"/>
      <c r="D61" s="615">
        <f>'C&amp;C-Tankers'!E106+Admin!D107</f>
        <v>60165.578828812635</v>
      </c>
      <c r="E61" s="615">
        <f>'C&amp;C-Tankers'!F106+Admin!E107+Remediation!B62</f>
        <v>812368.99535681389</v>
      </c>
      <c r="F61" s="615">
        <f>'C&amp;C-Tankers'!G106+Admin!F107+Remediation!C62</f>
        <v>28032632.74087856</v>
      </c>
      <c r="G61" s="615">
        <f>'C&amp;C-Tankers'!H106+Admin!G107+Remediation!D62</f>
        <v>28034266.280567251</v>
      </c>
      <c r="H61" s="615">
        <f>'C&amp;C-Tankers'!I106+Admin!H107+Remediation!E62</f>
        <v>28035923.25629228</v>
      </c>
      <c r="I61" s="615">
        <f>'C&amp;C-Tankers'!Q106+Admin!P107+Remediation!M62</f>
        <v>147778500.72830793</v>
      </c>
      <c r="J61" s="460">
        <f t="shared" si="0"/>
        <v>232753857.58023167</v>
      </c>
    </row>
    <row r="62" spans="1:11" s="305" customFormat="1" ht="15.75" hidden="1" thickBot="1" x14ac:dyDescent="0.3">
      <c r="A62" s="760" t="s">
        <v>796</v>
      </c>
      <c r="B62" s="761"/>
      <c r="C62" s="762"/>
      <c r="D62" s="616">
        <f>Admin!D108</f>
        <v>0</v>
      </c>
      <c r="E62" s="616">
        <f>Admin!E108</f>
        <v>208600</v>
      </c>
      <c r="F62" s="616">
        <f>Admin!F108</f>
        <v>208600</v>
      </c>
      <c r="G62" s="616">
        <f>Admin!G108</f>
        <v>208600</v>
      </c>
      <c r="H62" s="616">
        <f>Admin!H108</f>
        <v>208600</v>
      </c>
      <c r="I62" s="616">
        <f>Admin!P108</f>
        <v>208600</v>
      </c>
      <c r="J62" s="615">
        <f t="shared" si="0"/>
        <v>1043000</v>
      </c>
    </row>
    <row r="63" spans="1:11" s="333" customFormat="1" ht="15.75" hidden="1" thickTop="1" x14ac:dyDescent="0.25">
      <c r="A63" s="763" t="s">
        <v>84</v>
      </c>
      <c r="B63" s="764"/>
      <c r="C63" s="765"/>
      <c r="D63" s="462">
        <f>SUM(D57:D62)</f>
        <v>37206446.520319544</v>
      </c>
      <c r="E63" s="462">
        <f t="shared" ref="E63:I63" si="1">SUM(E57:E62)</f>
        <v>48253254.509407237</v>
      </c>
      <c r="F63" s="462">
        <f t="shared" si="1"/>
        <v>76014199.553465903</v>
      </c>
      <c r="G63" s="462">
        <f t="shared" si="1"/>
        <v>76963895.138535559</v>
      </c>
      <c r="H63" s="462">
        <f t="shared" si="1"/>
        <v>123022146.83141887</v>
      </c>
      <c r="I63" s="462">
        <f t="shared" si="1"/>
        <v>283094948.8296085</v>
      </c>
      <c r="J63" s="462">
        <f>SUM(J57:J62)</f>
        <v>644554891.38275564</v>
      </c>
    </row>
    <row r="64" spans="1:11" s="305" customFormat="1" hidden="1" x14ac:dyDescent="0.25">
      <c r="D64" s="640">
        <v>37206446.520319544</v>
      </c>
      <c r="E64" s="640">
        <v>48253254.509407237</v>
      </c>
      <c r="F64" s="640">
        <v>76014199.553465903</v>
      </c>
      <c r="G64" s="640">
        <v>76963895.138535559</v>
      </c>
      <c r="H64" s="640">
        <v>123022146.83141887</v>
      </c>
      <c r="I64" s="640">
        <v>283138862.57028759</v>
      </c>
    </row>
    <row r="65" spans="1:10" s="305" customFormat="1" hidden="1" x14ac:dyDescent="0.25">
      <c r="D65" s="640">
        <f>D63-D64</f>
        <v>0</v>
      </c>
      <c r="E65" s="640">
        <f t="shared" ref="E65:I65" si="2">E63-E64</f>
        <v>0</v>
      </c>
      <c r="F65" s="640">
        <f t="shared" si="2"/>
        <v>0</v>
      </c>
      <c r="G65" s="640">
        <f t="shared" si="2"/>
        <v>0</v>
      </c>
      <c r="H65" s="640">
        <f t="shared" si="2"/>
        <v>0</v>
      </c>
      <c r="I65" s="640">
        <f t="shared" si="2"/>
        <v>-43913.740679085255</v>
      </c>
    </row>
    <row r="66" spans="1:10" s="333" customFormat="1" ht="17.25" hidden="1" thickBot="1" x14ac:dyDescent="0.3">
      <c r="A66" s="766" t="s">
        <v>36</v>
      </c>
      <c r="B66" s="767"/>
      <c r="C66" s="768"/>
      <c r="D66" s="458">
        <v>2020</v>
      </c>
      <c r="E66" s="458">
        <v>2021</v>
      </c>
      <c r="F66" s="458">
        <v>2022</v>
      </c>
      <c r="G66" s="458">
        <v>2023</v>
      </c>
      <c r="H66" s="458">
        <v>2024</v>
      </c>
      <c r="I66" s="458">
        <v>2032</v>
      </c>
      <c r="J66" s="458" t="s">
        <v>8</v>
      </c>
    </row>
    <row r="67" spans="1:10" s="305" customFormat="1" ht="15.75" hidden="1" thickTop="1" x14ac:dyDescent="0.25">
      <c r="A67" s="769" t="s">
        <v>81</v>
      </c>
      <c r="B67" s="770"/>
      <c r="C67" s="771"/>
      <c r="D67" s="459">
        <f>'SP Berth Retrofit'!E143+'SP Vessel Retrofit'!D61+Admin!D103</f>
        <v>8868978.8932972066</v>
      </c>
      <c r="E67" s="459">
        <f>'SP Berth Retrofit'!F143+'SP Vessel Retrofit'!E61+'SP Labor &amp; Energy'!D188-'SP Labor &amp; Energy'!D195+Admin!E103+Remediation!B58</f>
        <v>14169319.012694892</v>
      </c>
      <c r="F67" s="459">
        <f>'SP Berth Retrofit'!G143+'SP Vessel Retrofit'!F61+'SP Labor &amp; Energy'!E188-'SP Labor &amp; Energy'!E195+Admin!F103+Remediation!C58</f>
        <v>14403791.066062327</v>
      </c>
      <c r="G67" s="459">
        <f>'SP Berth Retrofit'!H143+'SP Vessel Retrofit'!G61+'SP Labor &amp; Energy'!F188-'SP Labor &amp; Energy'!F195+Admin!G103+Remediation!D58</f>
        <v>14593551.90909208</v>
      </c>
      <c r="H67" s="459">
        <f>'SP Berth Retrofit'!I143+'SP Vessel Retrofit'!H61+'SP Labor &amp; Energy'!G188-'SP Labor &amp; Energy'!G195+Admin!H103+Remediation!E58</f>
        <v>15107182.613390453</v>
      </c>
      <c r="I67" s="459">
        <f>'SP Berth Retrofit'!Q143+'SP Vessel Retrofit'!P61+'SP Labor &amp; Energy'!O188-'SP Labor &amp; Energy'!O195+Admin!P103+Remediation!M58</f>
        <v>19677291.404402819</v>
      </c>
      <c r="J67" s="459">
        <f>SUM(D67:I67)</f>
        <v>86820114.898939788</v>
      </c>
    </row>
    <row r="68" spans="1:10" s="305" customFormat="1" hidden="1" x14ac:dyDescent="0.25">
      <c r="A68" s="757" t="s">
        <v>14</v>
      </c>
      <c r="B68" s="758"/>
      <c r="C68" s="759"/>
      <c r="D68" s="459">
        <f>'SP Berth Retrofit'!E144+'SP Vessel Retrofit'!D62+Admin!D104</f>
        <v>13706103.954774424</v>
      </c>
      <c r="E68" s="460">
        <f>'SP Berth Retrofit'!F144+'SP Vessel Retrofit'!E62+'SP Labor &amp; Energy'!D189-'SP Labor &amp; Energy'!D196+Admin!E104+Remediation!B59</f>
        <v>15504350.663824126</v>
      </c>
      <c r="F68" s="460">
        <f>'SP Berth Retrofit'!G144+'SP Vessel Retrofit'!F62+'SP Labor &amp; Energy'!E189-'SP Labor &amp; Energy'!E196+Admin!F104+Remediation!C59</f>
        <v>15990207.651720969</v>
      </c>
      <c r="G68" s="460">
        <f>'SP Berth Retrofit'!H144+'SP Vessel Retrofit'!G62+'SP Labor &amp; Energy'!F189-'SP Labor &amp; Energy'!F196+Admin!G104+Remediation!D59</f>
        <v>16652418.240617076</v>
      </c>
      <c r="H68" s="460">
        <f>'SP Berth Retrofit'!I144+'SP Vessel Retrofit'!H62+'SP Labor &amp; Energy'!G189-'SP Labor &amp; Energy'!G196+Admin!H104+Remediation!E59</f>
        <v>17219797.482890181</v>
      </c>
      <c r="I68" s="460">
        <f>'SP Berth Retrofit'!Q144+'SP Vessel Retrofit'!P62+'SP Labor &amp; Energy'!O189-'SP Labor &amp; Energy'!O196+Admin!P104+Remediation!M59</f>
        <v>22613945.76329276</v>
      </c>
      <c r="J68" s="460">
        <f>SUM(D68:I68)</f>
        <v>101686823.75711954</v>
      </c>
    </row>
    <row r="69" spans="1:10" s="305" customFormat="1" hidden="1" x14ac:dyDescent="0.25">
      <c r="A69" s="757" t="s">
        <v>822</v>
      </c>
      <c r="B69" s="758"/>
      <c r="C69" s="759"/>
      <c r="D69" s="459">
        <f>'SP Berth Retrofit'!E145+'SP Vessel Retrofit'!D63+Admin!D105</f>
        <v>138263.57376639877</v>
      </c>
      <c r="E69" s="460">
        <f>'SP Berth Retrofit'!F145+'SP Vessel Retrofit'!E63+'SP Labor &amp; Energy'!D190-'SP Labor &amp; Energy'!D197+Admin!D105+Remediation!B60</f>
        <v>138263.57376639877</v>
      </c>
      <c r="F69" s="460">
        <f>'SP Berth Retrofit'!G145+'SP Vessel Retrofit'!F63+'SP Labor &amp; Energy'!E190-'SP Labor &amp; Energy'!E197+Admin!E105+Remediation!C60</f>
        <v>498049.78477678169</v>
      </c>
      <c r="G69" s="460">
        <f>'SP Berth Retrofit'!H145+'SP Vessel Retrofit'!G63+'SP Labor &amp; Energy'!F190-'SP Labor &amp; Energy'!F197+Admin!F105+Remediation!D60</f>
        <v>395653.91841736488</v>
      </c>
      <c r="H69" s="460">
        <f>'SP Berth Retrofit'!I145+'SP Vessel Retrofit'!H63+'SP Labor &amp; Energy'!G190-'SP Labor &amp; Energy'!G197+Admin!G105+Remediation!E60</f>
        <v>147345579.44145724</v>
      </c>
      <c r="I69" s="460">
        <f>'SP Berth Retrofit'!Q145+'SP Vessel Retrofit'!P63+'SP Labor &amp; Energy'!O190-'SP Labor &amp; Energy'!O197+Admin!O105+Remediation!M60</f>
        <v>174540483.14577901</v>
      </c>
      <c r="J69" s="460">
        <f>SUM(D69:I69)</f>
        <v>323056293.43796319</v>
      </c>
    </row>
    <row r="70" spans="1:10" s="305" customFormat="1" hidden="1" x14ac:dyDescent="0.25">
      <c r="A70" s="757" t="s">
        <v>774</v>
      </c>
      <c r="B70" s="758"/>
      <c r="C70" s="759"/>
      <c r="D70" s="459">
        <f>'SP Berth Retrofit'!E146+'SP Vessel Retrofit'!D64+Admin!D106+Admin!D107</f>
        <v>10639857.719419938</v>
      </c>
      <c r="E70" s="460">
        <f>'SP Berth Retrofit'!F146+'SP Vessel Retrofit'!E64+'SP Labor &amp; Energy'!D191-'SP Labor &amp; Energy'!D198+Admin!E106+Admin!E107+Remediation!B61+Remediation!B62</f>
        <v>11935895.406855414</v>
      </c>
      <c r="F70" s="460">
        <f>'SP Berth Retrofit'!G146+'SP Vessel Retrofit'!F64+'SP Labor &amp; Energy'!E191-'SP Labor &amp; Energy'!E198+Admin!F106+Admin!F107+Remediation!C61+Remediation!C62</f>
        <v>25412873.942180485</v>
      </c>
      <c r="G70" s="460">
        <f>'SP Berth Retrofit'!H146+'SP Vessel Retrofit'!G64+'SP Labor &amp; Energy'!F191-'SP Labor &amp; Energy'!F198+Admin!G106+Admin!G107+Remediation!D61+Remediation!D62</f>
        <v>25415498.983570769</v>
      </c>
      <c r="H70" s="460">
        <f>'SP Berth Retrofit'!I146+'SP Vessel Retrofit'!H64+'SP Labor &amp; Energy'!G191-'SP Labor &amp; Energy'!G198+Admin!H106+Admin!H107+Remediation!E61+Remediation!E62</f>
        <v>60465064.847823232</v>
      </c>
      <c r="I70" s="460">
        <f>'SP Berth Retrofit'!Q146+'SP Vessel Retrofit'!P64+'SP Labor &amp; Energy'!O191-'SP Labor &amp; Energy'!O198+Admin!P106+Admin!P107+Remediation!M61+Remediation!M62</f>
        <v>236385686.54973945</v>
      </c>
      <c r="J70" s="460">
        <f>SUM(D70:I70)</f>
        <v>370254877.44958925</v>
      </c>
    </row>
    <row r="71" spans="1:10" s="305" customFormat="1" ht="15.75" hidden="1" thickBot="1" x14ac:dyDescent="0.3">
      <c r="A71" s="760" t="s">
        <v>796</v>
      </c>
      <c r="B71" s="761"/>
      <c r="C71" s="762"/>
      <c r="D71" s="616">
        <f>D62</f>
        <v>0</v>
      </c>
      <c r="E71" s="616">
        <f t="shared" ref="E71:I71" si="3">E62</f>
        <v>208600</v>
      </c>
      <c r="F71" s="616">
        <f t="shared" si="3"/>
        <v>208600</v>
      </c>
      <c r="G71" s="616">
        <f t="shared" si="3"/>
        <v>208600</v>
      </c>
      <c r="H71" s="616">
        <f t="shared" si="3"/>
        <v>208600</v>
      </c>
      <c r="I71" s="616">
        <f t="shared" si="3"/>
        <v>208600</v>
      </c>
      <c r="J71" s="460">
        <f>SUM(D71:I71)</f>
        <v>1043000</v>
      </c>
    </row>
    <row r="72" spans="1:10" s="333" customFormat="1" ht="15.75" hidden="1" thickTop="1" x14ac:dyDescent="0.25">
      <c r="A72" s="763" t="s">
        <v>84</v>
      </c>
      <c r="B72" s="764"/>
      <c r="C72" s="765"/>
      <c r="D72" s="462">
        <f>SUM(D67:D71)</f>
        <v>33353204.141257968</v>
      </c>
      <c r="E72" s="462">
        <f t="shared" ref="E72:I72" si="4">SUM(E67:E71)</f>
        <v>41956428.657140829</v>
      </c>
      <c r="F72" s="462">
        <f t="shared" si="4"/>
        <v>56513522.444740564</v>
      </c>
      <c r="G72" s="462">
        <f t="shared" si="4"/>
        <v>57265723.051697291</v>
      </c>
      <c r="H72" s="462">
        <f t="shared" si="4"/>
        <v>240346224.38556111</v>
      </c>
      <c r="I72" s="462">
        <f t="shared" si="4"/>
        <v>453426006.86321402</v>
      </c>
      <c r="J72" s="462">
        <f>SUM(J67:J71)</f>
        <v>882861109.54361176</v>
      </c>
    </row>
    <row r="73" spans="1:10" s="305" customFormat="1" hidden="1" x14ac:dyDescent="0.25"/>
    <row r="74" spans="1:10" s="305" customFormat="1" hidden="1" x14ac:dyDescent="0.25"/>
    <row r="75" spans="1:10" s="333" customFormat="1" ht="17.25" hidden="1" thickBot="1" x14ac:dyDescent="0.3">
      <c r="A75" s="766" t="s">
        <v>37</v>
      </c>
      <c r="B75" s="767"/>
      <c r="C75" s="768"/>
      <c r="D75" s="458">
        <v>2020</v>
      </c>
      <c r="E75" s="458">
        <v>2021</v>
      </c>
      <c r="F75" s="458">
        <v>2022</v>
      </c>
      <c r="G75" s="458">
        <v>2023</v>
      </c>
      <c r="H75" s="458">
        <v>2024</v>
      </c>
      <c r="I75" s="458">
        <v>2032</v>
      </c>
      <c r="J75" s="458" t="s">
        <v>8</v>
      </c>
    </row>
    <row r="76" spans="1:10" s="305" customFormat="1" ht="15.75" hidden="1" thickTop="1" x14ac:dyDescent="0.25">
      <c r="A76" s="769" t="s">
        <v>81</v>
      </c>
      <c r="B76" s="770"/>
      <c r="C76" s="771"/>
      <c r="D76" s="459">
        <f t="shared" ref="D76:I76" si="5">D57</f>
        <v>8254819.5156240929</v>
      </c>
      <c r="E76" s="459">
        <f t="shared" si="5"/>
        <v>15638956.897216221</v>
      </c>
      <c r="F76" s="459">
        <f t="shared" si="5"/>
        <v>15926047.188902181</v>
      </c>
      <c r="G76" s="459">
        <f t="shared" si="5"/>
        <v>16171900.331707623</v>
      </c>
      <c r="H76" s="459">
        <f t="shared" si="5"/>
        <v>16745166.329508405</v>
      </c>
      <c r="I76" s="459">
        <f t="shared" si="5"/>
        <v>21833323.931031395</v>
      </c>
      <c r="J76" s="459">
        <f t="shared" ref="J76:J81" si="6">SUM(D76:I76)</f>
        <v>94570214.193989918</v>
      </c>
    </row>
    <row r="77" spans="1:10" s="305" customFormat="1" hidden="1" x14ac:dyDescent="0.25">
      <c r="A77" s="757" t="s">
        <v>14</v>
      </c>
      <c r="B77" s="758"/>
      <c r="C77" s="759"/>
      <c r="D77" s="459">
        <f t="shared" ref="D77:I77" si="7">D58</f>
        <v>13706103.954774424</v>
      </c>
      <c r="E77" s="459">
        <f t="shared" si="7"/>
        <v>15504350.663824126</v>
      </c>
      <c r="F77" s="459">
        <f t="shared" si="7"/>
        <v>15990207.651720969</v>
      </c>
      <c r="G77" s="459">
        <f t="shared" si="7"/>
        <v>16652418.240617076</v>
      </c>
      <c r="H77" s="459">
        <f t="shared" si="7"/>
        <v>17219797.482890181</v>
      </c>
      <c r="I77" s="459">
        <f t="shared" si="7"/>
        <v>22613945.76329276</v>
      </c>
      <c r="J77" s="460">
        <f t="shared" si="6"/>
        <v>101686823.75711954</v>
      </c>
    </row>
    <row r="78" spans="1:10" s="305" customFormat="1" hidden="1" x14ac:dyDescent="0.25">
      <c r="A78" s="757" t="s">
        <v>822</v>
      </c>
      <c r="B78" s="758"/>
      <c r="C78" s="759"/>
      <c r="D78" s="459">
        <f>Admin!D77+Admin!D83</f>
        <v>0</v>
      </c>
      <c r="E78" s="459">
        <f>Admin!E77+Admin!E83</f>
        <v>234118.97266066991</v>
      </c>
      <c r="F78" s="459">
        <f>Admin!F77+Admin!F83</f>
        <v>240908.01677802062</v>
      </c>
      <c r="G78" s="459">
        <f>Admin!G77+Admin!G83</f>
        <v>247919.33885886101</v>
      </c>
      <c r="H78" s="459">
        <f>Admin!H77+Admin!H83</f>
        <v>255161.11741566643</v>
      </c>
      <c r="I78" s="459">
        <f>Admin!P77+Admin!P83</f>
        <v>309737.10023247881</v>
      </c>
      <c r="J78" s="460">
        <f t="shared" si="6"/>
        <v>1287844.5459456968</v>
      </c>
    </row>
    <row r="79" spans="1:10" s="305" customFormat="1" hidden="1" x14ac:dyDescent="0.25">
      <c r="A79" s="757" t="s">
        <v>520</v>
      </c>
      <c r="B79" s="758"/>
      <c r="C79" s="759"/>
      <c r="D79" s="460">
        <f t="shared" ref="D79:I79" si="8">D60</f>
        <v>15047093.897325817</v>
      </c>
      <c r="E79" s="460">
        <f t="shared" si="8"/>
        <v>15590928.168233294</v>
      </c>
      <c r="F79" s="460">
        <f t="shared" si="8"/>
        <v>15461058.053546822</v>
      </c>
      <c r="G79" s="460">
        <f t="shared" si="8"/>
        <v>15462049.555248417</v>
      </c>
      <c r="H79" s="460">
        <f t="shared" si="8"/>
        <v>59314081.190683052</v>
      </c>
      <c r="I79" s="460">
        <f t="shared" si="8"/>
        <v>71613402.706493363</v>
      </c>
      <c r="J79" s="460">
        <f t="shared" si="6"/>
        <v>192488613.57153076</v>
      </c>
    </row>
    <row r="80" spans="1:10" s="305" customFormat="1" hidden="1" x14ac:dyDescent="0.25">
      <c r="A80" s="757" t="s">
        <v>566</v>
      </c>
      <c r="B80" s="758"/>
      <c r="C80" s="759"/>
      <c r="D80" s="461">
        <f t="shared" ref="D80:I80" si="9">D61</f>
        <v>60165.578828812635</v>
      </c>
      <c r="E80" s="461">
        <f t="shared" si="9"/>
        <v>812368.99535681389</v>
      </c>
      <c r="F80" s="461">
        <f t="shared" si="9"/>
        <v>28032632.74087856</v>
      </c>
      <c r="G80" s="461">
        <f t="shared" si="9"/>
        <v>28034266.280567251</v>
      </c>
      <c r="H80" s="461">
        <f t="shared" si="9"/>
        <v>28035923.25629228</v>
      </c>
      <c r="I80" s="461">
        <f t="shared" si="9"/>
        <v>147778500.72830793</v>
      </c>
      <c r="J80" s="461">
        <f t="shared" si="6"/>
        <v>232753857.58023167</v>
      </c>
    </row>
    <row r="81" spans="1:10" s="305" customFormat="1" ht="15.75" hidden="1" thickBot="1" x14ac:dyDescent="0.3">
      <c r="A81" s="760" t="s">
        <v>796</v>
      </c>
      <c r="B81" s="761"/>
      <c r="C81" s="762"/>
      <c r="D81" s="616">
        <f>D71</f>
        <v>0</v>
      </c>
      <c r="E81" s="616">
        <f t="shared" ref="E81:I81" si="10">E71</f>
        <v>208600</v>
      </c>
      <c r="F81" s="616">
        <f t="shared" si="10"/>
        <v>208600</v>
      </c>
      <c r="G81" s="616">
        <f t="shared" si="10"/>
        <v>208600</v>
      </c>
      <c r="H81" s="616">
        <f t="shared" si="10"/>
        <v>208600</v>
      </c>
      <c r="I81" s="616">
        <f t="shared" si="10"/>
        <v>208600</v>
      </c>
      <c r="J81" s="460">
        <f t="shared" si="6"/>
        <v>1043000</v>
      </c>
    </row>
    <row r="82" spans="1:10" s="333" customFormat="1" ht="15.75" hidden="1" thickTop="1" x14ac:dyDescent="0.25">
      <c r="A82" s="763" t="s">
        <v>84</v>
      </c>
      <c r="B82" s="764"/>
      <c r="C82" s="765"/>
      <c r="D82" s="462">
        <f>SUM(D76:D81)</f>
        <v>37068182.946553141</v>
      </c>
      <c r="E82" s="462">
        <f t="shared" ref="E82:J82" si="11">SUM(E76:E81)</f>
        <v>47989323.697291121</v>
      </c>
      <c r="F82" s="462">
        <f t="shared" si="11"/>
        <v>75859453.65182656</v>
      </c>
      <c r="G82" s="462">
        <f t="shared" si="11"/>
        <v>76777153.746999234</v>
      </c>
      <c r="H82" s="462">
        <f t="shared" si="11"/>
        <v>121778729.37678958</v>
      </c>
      <c r="I82" s="462">
        <f t="shared" si="11"/>
        <v>264357510.22935793</v>
      </c>
      <c r="J82" s="462">
        <f t="shared" si="11"/>
        <v>623830353.64881754</v>
      </c>
    </row>
  </sheetData>
  <sheetProtection algorithmName="SHA-512" hashValue="0VL0iiEj3Bzkur+s8lXbooaj44H73M8w4qURkYVXwQnHVABBb0iS2Y6CgIiK/IYhXnlADZnbbs1aTtcrLu5Kvw==" saltValue="HiYZj7ubbwg/SVN9jarFAA==" spinCount="100000" sheet="1" objects="1" scenarios="1"/>
  <mergeCells count="23">
    <mergeCell ref="A71:C71"/>
    <mergeCell ref="A56:C56"/>
    <mergeCell ref="A57:C57"/>
    <mergeCell ref="A58:C58"/>
    <mergeCell ref="A59:C59"/>
    <mergeCell ref="A60:C60"/>
    <mergeCell ref="A61:C61"/>
    <mergeCell ref="A62:C62"/>
    <mergeCell ref="A63:C63"/>
    <mergeCell ref="A66:C66"/>
    <mergeCell ref="A67:C67"/>
    <mergeCell ref="A68:C68"/>
    <mergeCell ref="A69:C69"/>
    <mergeCell ref="A70:C70"/>
    <mergeCell ref="A80:C80"/>
    <mergeCell ref="A81:C81"/>
    <mergeCell ref="A82:C82"/>
    <mergeCell ref="A78:C78"/>
    <mergeCell ref="A72:C72"/>
    <mergeCell ref="A75:C75"/>
    <mergeCell ref="A76:C76"/>
    <mergeCell ref="A77:C77"/>
    <mergeCell ref="A79:C79"/>
  </mergeCells>
  <pageMargins left="0.7" right="0.7" top="0.75" bottom="0.75" header="0.3" footer="0.3"/>
  <pageSetup fitToWidth="2" fitToHeight="3" orientation="landscape" r:id="rId1"/>
  <rowBreaks count="2" manualBreakCount="2">
    <brk id="19" max="16383" man="1"/>
    <brk id="36"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FFF00"/>
  </sheetPr>
  <dimension ref="A1:J188"/>
  <sheetViews>
    <sheetView view="pageLayout" zoomScaleNormal="100" zoomScaleSheetLayoutView="80" workbookViewId="0">
      <selection activeCell="B13" sqref="B13:C13"/>
    </sheetView>
  </sheetViews>
  <sheetFormatPr defaultColWidth="9.140625" defaultRowHeight="15" x14ac:dyDescent="0.25"/>
  <cols>
    <col min="1" max="1" width="65.85546875" style="1" customWidth="1"/>
    <col min="2" max="2" width="14.7109375" style="1" customWidth="1"/>
    <col min="3" max="3" width="12.28515625" style="1" bestFit="1" customWidth="1"/>
    <col min="4" max="4" width="13.5703125" style="1" customWidth="1"/>
    <col min="5" max="5" width="38.85546875" style="1" customWidth="1"/>
    <col min="6" max="6" width="14.7109375" style="1" customWidth="1"/>
    <col min="7" max="7" width="15.42578125" style="1" bestFit="1" customWidth="1"/>
    <col min="8" max="16384" width="9.140625" style="1"/>
  </cols>
  <sheetData>
    <row r="1" spans="1:5" ht="18.75" x14ac:dyDescent="0.3">
      <c r="A1" s="2" t="s">
        <v>66</v>
      </c>
      <c r="B1" s="754" t="s">
        <v>386</v>
      </c>
      <c r="C1" s="754"/>
      <c r="D1" s="754"/>
    </row>
    <row r="2" spans="1:5" x14ac:dyDescent="0.25">
      <c r="B2" s="788" t="s">
        <v>374</v>
      </c>
      <c r="C2" s="814"/>
      <c r="D2" s="789"/>
    </row>
    <row r="3" spans="1:5" x14ac:dyDescent="0.25">
      <c r="B3" s="818" t="s">
        <v>379</v>
      </c>
      <c r="C3" s="818"/>
      <c r="D3" s="818"/>
    </row>
    <row r="4" spans="1:5" x14ac:dyDescent="0.25">
      <c r="B4" s="815" t="s">
        <v>375</v>
      </c>
      <c r="C4" s="816"/>
      <c r="D4" s="817"/>
    </row>
    <row r="6" spans="1:5" ht="15.75" x14ac:dyDescent="0.25">
      <c r="A6" s="22" t="s">
        <v>111</v>
      </c>
      <c r="B6" s="804" t="s">
        <v>112</v>
      </c>
      <c r="C6" s="805"/>
      <c r="D6" s="50" t="s">
        <v>25</v>
      </c>
      <c r="E6" s="553"/>
    </row>
    <row r="7" spans="1:5" ht="17.25" x14ac:dyDescent="0.25">
      <c r="A7" s="723" t="s">
        <v>935</v>
      </c>
      <c r="B7" s="785" t="s">
        <v>115</v>
      </c>
      <c r="C7" s="784"/>
      <c r="D7" s="65">
        <v>900</v>
      </c>
      <c r="E7" s="543"/>
    </row>
    <row r="8" spans="1:5" x14ac:dyDescent="0.25">
      <c r="A8" s="125" t="s">
        <v>934</v>
      </c>
      <c r="B8" s="124"/>
      <c r="C8" s="124"/>
      <c r="D8" s="48"/>
      <c r="E8" s="71"/>
    </row>
    <row r="10" spans="1:5" ht="15.75" x14ac:dyDescent="0.25">
      <c r="A10" s="22" t="s">
        <v>823</v>
      </c>
      <c r="B10" s="804" t="s">
        <v>112</v>
      </c>
      <c r="C10" s="805"/>
      <c r="D10" s="50" t="s">
        <v>25</v>
      </c>
      <c r="E10" s="553"/>
    </row>
    <row r="11" spans="1:5" ht="17.25" x14ac:dyDescent="0.25">
      <c r="A11" s="628" t="s">
        <v>833</v>
      </c>
      <c r="B11" s="785" t="s">
        <v>114</v>
      </c>
      <c r="C11" s="784"/>
      <c r="D11" s="65">
        <v>3600000</v>
      </c>
      <c r="E11" s="554"/>
    </row>
    <row r="12" spans="1:5" ht="17.25" x14ac:dyDescent="0.25">
      <c r="A12" s="564" t="s">
        <v>681</v>
      </c>
      <c r="B12" s="785" t="s">
        <v>222</v>
      </c>
      <c r="C12" s="784"/>
      <c r="D12" s="65">
        <v>0</v>
      </c>
      <c r="E12" s="543"/>
    </row>
    <row r="13" spans="1:5" ht="17.25" x14ac:dyDescent="0.25">
      <c r="A13" s="311" t="s">
        <v>498</v>
      </c>
      <c r="B13" s="782" t="s">
        <v>223</v>
      </c>
      <c r="C13" s="782"/>
      <c r="D13" s="65">
        <v>17500</v>
      </c>
      <c r="E13" s="543"/>
    </row>
    <row r="14" spans="1:5" ht="17.25" x14ac:dyDescent="0.25">
      <c r="A14" s="311" t="s">
        <v>500</v>
      </c>
      <c r="B14" s="785" t="s">
        <v>115</v>
      </c>
      <c r="C14" s="784"/>
      <c r="D14" s="65">
        <v>100</v>
      </c>
      <c r="E14" s="543"/>
    </row>
    <row r="15" spans="1:5" s="14" customFormat="1" x14ac:dyDescent="0.25">
      <c r="A15" s="342" t="s">
        <v>683</v>
      </c>
      <c r="B15" s="124"/>
      <c r="C15" s="124"/>
      <c r="D15" s="48"/>
      <c r="E15" s="214"/>
    </row>
    <row r="16" spans="1:5" s="14" customFormat="1" x14ac:dyDescent="0.25">
      <c r="A16" s="342" t="s">
        <v>682</v>
      </c>
      <c r="B16" s="124"/>
      <c r="C16" s="124"/>
      <c r="D16" s="48"/>
      <c r="E16" s="214"/>
    </row>
    <row r="17" spans="1:10" s="14" customFormat="1" x14ac:dyDescent="0.25">
      <c r="A17" s="125"/>
      <c r="B17" s="124"/>
      <c r="C17" s="124"/>
      <c r="D17" s="48"/>
      <c r="E17" s="214"/>
    </row>
    <row r="18" spans="1:10" s="14" customFormat="1" ht="15.75" x14ac:dyDescent="0.25">
      <c r="A18" s="94" t="s">
        <v>651</v>
      </c>
      <c r="B18" s="236"/>
      <c r="C18" s="236"/>
      <c r="D18" s="502"/>
      <c r="E18" s="214"/>
    </row>
    <row r="19" spans="1:10" ht="17.25" x14ac:dyDescent="0.25">
      <c r="A19" s="564" t="s">
        <v>692</v>
      </c>
      <c r="B19" s="785" t="s">
        <v>210</v>
      </c>
      <c r="C19" s="784"/>
      <c r="D19" s="556">
        <f>AVERAGE((125/4/14*3600000),5000000)</f>
        <v>6517857.1428571437</v>
      </c>
      <c r="E19" s="11"/>
      <c r="J19" s="552"/>
    </row>
    <row r="20" spans="1:10" ht="32.25" x14ac:dyDescent="0.25">
      <c r="A20" s="564" t="s">
        <v>694</v>
      </c>
      <c r="B20" s="783" t="s">
        <v>210</v>
      </c>
      <c r="C20" s="784"/>
      <c r="D20" s="65">
        <v>7000000</v>
      </c>
      <c r="E20" s="11"/>
    </row>
    <row r="21" spans="1:10" ht="17.25" x14ac:dyDescent="0.25">
      <c r="A21" s="564" t="s">
        <v>695</v>
      </c>
      <c r="B21" s="783" t="s">
        <v>210</v>
      </c>
      <c r="C21" s="784"/>
      <c r="D21" s="65">
        <f>AVERAGE(0,10000000)</f>
        <v>5000000</v>
      </c>
      <c r="E21" s="11"/>
      <c r="J21" s="555"/>
    </row>
    <row r="22" spans="1:10" ht="32.25" x14ac:dyDescent="0.25">
      <c r="A22" s="564" t="s">
        <v>696</v>
      </c>
      <c r="B22" s="785" t="s">
        <v>210</v>
      </c>
      <c r="C22" s="784"/>
      <c r="D22" s="65">
        <v>4500000</v>
      </c>
      <c r="E22" s="11"/>
    </row>
    <row r="23" spans="1:10" ht="17.25" x14ac:dyDescent="0.25">
      <c r="A23" s="564" t="s">
        <v>697</v>
      </c>
      <c r="B23" s="785" t="s">
        <v>210</v>
      </c>
      <c r="C23" s="784"/>
      <c r="D23" s="338">
        <v>7000000</v>
      </c>
      <c r="E23" s="11"/>
    </row>
    <row r="24" spans="1:10" ht="17.25" x14ac:dyDescent="0.25">
      <c r="A24" s="564" t="s">
        <v>698</v>
      </c>
      <c r="B24" s="783" t="s">
        <v>22</v>
      </c>
      <c r="C24" s="784" t="s">
        <v>22</v>
      </c>
      <c r="D24" s="533">
        <v>1</v>
      </c>
      <c r="E24" s="11"/>
    </row>
    <row r="25" spans="1:10" x14ac:dyDescent="0.25">
      <c r="A25" s="499" t="s">
        <v>618</v>
      </c>
      <c r="B25" s="785" t="s">
        <v>210</v>
      </c>
      <c r="C25" s="784"/>
      <c r="D25" s="503">
        <f>D23*D24</f>
        <v>7000000</v>
      </c>
      <c r="E25" s="11"/>
    </row>
    <row r="26" spans="1:10" ht="17.25" x14ac:dyDescent="0.25">
      <c r="A26" s="564" t="s">
        <v>699</v>
      </c>
      <c r="B26" s="783" t="s">
        <v>622</v>
      </c>
      <c r="C26" s="784"/>
      <c r="D26" s="65">
        <v>10000000</v>
      </c>
      <c r="E26" s="11"/>
    </row>
    <row r="27" spans="1:10" ht="17.25" x14ac:dyDescent="0.25">
      <c r="A27" s="564" t="s">
        <v>700</v>
      </c>
      <c r="B27" s="783" t="s">
        <v>22</v>
      </c>
      <c r="C27" s="784" t="s">
        <v>22</v>
      </c>
      <c r="D27" s="533">
        <v>1</v>
      </c>
      <c r="E27" s="11"/>
    </row>
    <row r="28" spans="1:10" x14ac:dyDescent="0.25">
      <c r="A28" s="499" t="s">
        <v>619</v>
      </c>
      <c r="B28" s="785" t="s">
        <v>210</v>
      </c>
      <c r="C28" s="784"/>
      <c r="D28" s="503">
        <f>D26*D27</f>
        <v>10000000</v>
      </c>
      <c r="E28" s="11"/>
    </row>
    <row r="29" spans="1:10" ht="17.25" x14ac:dyDescent="0.25">
      <c r="A29" s="565" t="s">
        <v>701</v>
      </c>
      <c r="B29" s="785" t="s">
        <v>210</v>
      </c>
      <c r="C29" s="784"/>
      <c r="D29" s="338">
        <v>0</v>
      </c>
      <c r="E29" s="11"/>
    </row>
    <row r="30" spans="1:10" ht="17.25" customHeight="1" x14ac:dyDescent="0.25">
      <c r="A30" s="564" t="s">
        <v>703</v>
      </c>
      <c r="B30" s="794" t="s">
        <v>625</v>
      </c>
      <c r="C30" s="791"/>
      <c r="D30" s="534">
        <v>1000000</v>
      </c>
      <c r="E30" s="11"/>
    </row>
    <row r="31" spans="1:10" ht="17.25" customHeight="1" x14ac:dyDescent="0.25">
      <c r="A31" s="564" t="s">
        <v>704</v>
      </c>
      <c r="B31" s="796" t="s">
        <v>663</v>
      </c>
      <c r="C31" s="791"/>
      <c r="D31" s="532">
        <f>D$127/D$116</f>
        <v>3.4639347861793288E-3</v>
      </c>
      <c r="E31" s="11"/>
    </row>
    <row r="32" spans="1:10" x14ac:dyDescent="0.25">
      <c r="A32" s="564" t="s">
        <v>463</v>
      </c>
      <c r="B32" s="781" t="s">
        <v>625</v>
      </c>
      <c r="C32" s="782"/>
      <c r="D32" s="503">
        <f>D31*SUM(D19:D25,D28,D29)</f>
        <v>162866.79439268788</v>
      </c>
    </row>
    <row r="33" spans="1:5" ht="17.25" x14ac:dyDescent="0.25">
      <c r="A33" s="565" t="s">
        <v>705</v>
      </c>
      <c r="B33" s="783" t="s">
        <v>645</v>
      </c>
      <c r="C33" s="784"/>
      <c r="D33" s="338">
        <v>200</v>
      </c>
      <c r="E33" s="11"/>
    </row>
    <row r="34" spans="1:5" ht="17.25" x14ac:dyDescent="0.25">
      <c r="A34" s="563" t="s">
        <v>702</v>
      </c>
      <c r="B34" s="792" t="s">
        <v>658</v>
      </c>
      <c r="C34" s="793"/>
      <c r="D34" s="338">
        <v>0</v>
      </c>
      <c r="E34" s="11"/>
    </row>
    <row r="35" spans="1:5" s="14" customFormat="1" x14ac:dyDescent="0.25">
      <c r="A35" s="500"/>
      <c r="B35" s="213"/>
      <c r="C35" s="213"/>
      <c r="D35" s="501"/>
      <c r="E35" s="214"/>
    </row>
    <row r="36" spans="1:5" s="14" customFormat="1" ht="15.75" x14ac:dyDescent="0.25">
      <c r="A36" s="94" t="s">
        <v>652</v>
      </c>
      <c r="B36" s="236"/>
      <c r="C36" s="236"/>
      <c r="D36" s="502"/>
      <c r="E36" s="214"/>
    </row>
    <row r="37" spans="1:5" ht="17.25" x14ac:dyDescent="0.25">
      <c r="A37" s="564" t="s">
        <v>692</v>
      </c>
      <c r="B37" s="785" t="s">
        <v>210</v>
      </c>
      <c r="C37" s="784"/>
      <c r="D37" s="558">
        <f>D19</f>
        <v>6517857.1428571437</v>
      </c>
      <c r="E37" s="11"/>
    </row>
    <row r="38" spans="1:5" ht="32.25" x14ac:dyDescent="0.25">
      <c r="A38" s="564" t="s">
        <v>694</v>
      </c>
      <c r="B38" s="783" t="s">
        <v>210</v>
      </c>
      <c r="C38" s="784"/>
      <c r="D38" s="558">
        <f>D20</f>
        <v>7000000</v>
      </c>
      <c r="E38" s="11"/>
    </row>
    <row r="39" spans="1:5" ht="17.25" x14ac:dyDescent="0.25">
      <c r="A39" s="564" t="s">
        <v>695</v>
      </c>
      <c r="B39" s="783" t="s">
        <v>210</v>
      </c>
      <c r="C39" s="784"/>
      <c r="D39" s="65">
        <f>AVERAGE(10000000,20000000)</f>
        <v>15000000</v>
      </c>
      <c r="E39" s="11"/>
    </row>
    <row r="40" spans="1:5" ht="32.25" x14ac:dyDescent="0.25">
      <c r="A40" s="564" t="s">
        <v>696</v>
      </c>
      <c r="B40" s="785" t="s">
        <v>210</v>
      </c>
      <c r="C40" s="784"/>
      <c r="D40" s="558">
        <f>D22</f>
        <v>4500000</v>
      </c>
      <c r="E40" s="11"/>
    </row>
    <row r="41" spans="1:5" ht="17.25" x14ac:dyDescent="0.25">
      <c r="A41" s="564" t="s">
        <v>697</v>
      </c>
      <c r="B41" s="783" t="s">
        <v>617</v>
      </c>
      <c r="C41" s="784"/>
      <c r="D41" s="559">
        <f>D25</f>
        <v>7000000</v>
      </c>
      <c r="E41" s="11"/>
    </row>
    <row r="42" spans="1:5" ht="17.25" x14ac:dyDescent="0.25">
      <c r="A42" s="564" t="s">
        <v>698</v>
      </c>
      <c r="B42" s="783" t="s">
        <v>22</v>
      </c>
      <c r="C42" s="784" t="s">
        <v>22</v>
      </c>
      <c r="D42" s="533">
        <v>2</v>
      </c>
      <c r="E42" s="554"/>
    </row>
    <row r="43" spans="1:5" x14ac:dyDescent="0.25">
      <c r="A43" s="499" t="s">
        <v>618</v>
      </c>
      <c r="B43" s="785" t="s">
        <v>210</v>
      </c>
      <c r="C43" s="784"/>
      <c r="D43" s="503">
        <f>D41*D42</f>
        <v>14000000</v>
      </c>
      <c r="E43" s="11"/>
    </row>
    <row r="44" spans="1:5" ht="30" customHeight="1" x14ac:dyDescent="0.25">
      <c r="A44" s="564" t="s">
        <v>699</v>
      </c>
      <c r="B44" s="795" t="s">
        <v>622</v>
      </c>
      <c r="C44" s="791"/>
      <c r="D44" s="558">
        <f>D26</f>
        <v>10000000</v>
      </c>
      <c r="E44" s="11"/>
    </row>
    <row r="45" spans="1:5" ht="17.25" x14ac:dyDescent="0.25">
      <c r="A45" s="564" t="s">
        <v>700</v>
      </c>
      <c r="B45" s="783" t="s">
        <v>22</v>
      </c>
      <c r="C45" s="784" t="s">
        <v>22</v>
      </c>
      <c r="D45" s="533">
        <v>2</v>
      </c>
      <c r="E45" s="11"/>
    </row>
    <row r="46" spans="1:5" x14ac:dyDescent="0.25">
      <c r="A46" s="499" t="s">
        <v>619</v>
      </c>
      <c r="B46" s="785" t="s">
        <v>210</v>
      </c>
      <c r="C46" s="784"/>
      <c r="D46" s="503">
        <f>D44*D45</f>
        <v>20000000</v>
      </c>
      <c r="E46" s="11"/>
    </row>
    <row r="47" spans="1:5" ht="17.25" x14ac:dyDescent="0.25">
      <c r="A47" s="565" t="s">
        <v>701</v>
      </c>
      <c r="B47" s="785" t="s">
        <v>210</v>
      </c>
      <c r="C47" s="784"/>
      <c r="D47" s="338">
        <v>0</v>
      </c>
      <c r="E47" s="11"/>
    </row>
    <row r="48" spans="1:5" ht="17.25" x14ac:dyDescent="0.25">
      <c r="A48" s="564" t="s">
        <v>703</v>
      </c>
      <c r="B48" s="794" t="s">
        <v>625</v>
      </c>
      <c r="C48" s="791"/>
      <c r="D48" s="560">
        <f>D30</f>
        <v>1000000</v>
      </c>
      <c r="E48" s="11"/>
    </row>
    <row r="49" spans="1:5" ht="17.25" x14ac:dyDescent="0.25">
      <c r="A49" s="564" t="s">
        <v>704</v>
      </c>
      <c r="B49" s="796" t="s">
        <v>663</v>
      </c>
      <c r="C49" s="791"/>
      <c r="D49" s="561">
        <f>D31</f>
        <v>3.4639347861793288E-3</v>
      </c>
      <c r="E49" s="11"/>
    </row>
    <row r="50" spans="1:5" x14ac:dyDescent="0.25">
      <c r="A50" s="564" t="s">
        <v>463</v>
      </c>
      <c r="B50" s="781" t="s">
        <v>625</v>
      </c>
      <c r="C50" s="782"/>
      <c r="D50" s="503">
        <f>D49*SUM(D37:D40,D43,D46,D47)</f>
        <v>232145.48665233966</v>
      </c>
    </row>
    <row r="51" spans="1:5" ht="17.25" x14ac:dyDescent="0.25">
      <c r="A51" s="565" t="s">
        <v>705</v>
      </c>
      <c r="B51" s="795" t="s">
        <v>645</v>
      </c>
      <c r="C51" s="791"/>
      <c r="D51" s="338">
        <v>500</v>
      </c>
      <c r="E51" s="11"/>
    </row>
    <row r="52" spans="1:5" ht="17.25" x14ac:dyDescent="0.25">
      <c r="A52" s="563" t="s">
        <v>702</v>
      </c>
      <c r="B52" s="792" t="s">
        <v>658</v>
      </c>
      <c r="C52" s="793"/>
      <c r="D52" s="559">
        <f>D34</f>
        <v>0</v>
      </c>
      <c r="E52" s="11"/>
    </row>
    <row r="53" spans="1:5" s="14" customFormat="1" x14ac:dyDescent="0.25">
      <c r="A53" s="373" t="s">
        <v>678</v>
      </c>
      <c r="B53" s="213"/>
      <c r="C53" s="213"/>
      <c r="D53" s="501"/>
      <c r="E53" s="214"/>
    </row>
    <row r="54" spans="1:5" s="14" customFormat="1" x14ac:dyDescent="0.25">
      <c r="A54" s="220"/>
      <c r="B54" s="86"/>
      <c r="C54" s="86"/>
      <c r="D54" s="557"/>
      <c r="E54" s="214"/>
    </row>
    <row r="55" spans="1:5" x14ac:dyDescent="0.25">
      <c r="A55" s="786" t="s">
        <v>684</v>
      </c>
      <c r="B55" s="786"/>
      <c r="C55" s="786"/>
      <c r="D55" s="786"/>
      <c r="E55" s="786"/>
    </row>
    <row r="56" spans="1:5" x14ac:dyDescent="0.25">
      <c r="A56" s="786"/>
      <c r="B56" s="786"/>
      <c r="C56" s="786"/>
      <c r="D56" s="786"/>
      <c r="E56" s="786"/>
    </row>
    <row r="57" spans="1:5" x14ac:dyDescent="0.25">
      <c r="A57" s="786"/>
      <c r="B57" s="786"/>
      <c r="C57" s="786"/>
      <c r="D57" s="786"/>
      <c r="E57" s="786"/>
    </row>
    <row r="58" spans="1:5" x14ac:dyDescent="0.25">
      <c r="A58" s="786"/>
      <c r="B58" s="786"/>
      <c r="C58" s="786"/>
      <c r="D58" s="786"/>
      <c r="E58" s="786"/>
    </row>
    <row r="59" spans="1:5" x14ac:dyDescent="0.25">
      <c r="A59" s="786" t="s">
        <v>685</v>
      </c>
      <c r="B59" s="786"/>
      <c r="C59" s="786"/>
      <c r="D59" s="786"/>
      <c r="E59" s="786"/>
    </row>
    <row r="60" spans="1:5" x14ac:dyDescent="0.25">
      <c r="A60" s="786" t="s">
        <v>686</v>
      </c>
      <c r="B60" s="786"/>
      <c r="C60" s="786"/>
      <c r="D60" s="786"/>
      <c r="E60" s="786"/>
    </row>
    <row r="61" spans="1:5" x14ac:dyDescent="0.25">
      <c r="A61" s="786"/>
      <c r="B61" s="786"/>
      <c r="C61" s="786"/>
      <c r="D61" s="786"/>
      <c r="E61" s="786"/>
    </row>
    <row r="62" spans="1:5" x14ac:dyDescent="0.25">
      <c r="A62" s="786" t="s">
        <v>687</v>
      </c>
      <c r="B62" s="786"/>
      <c r="C62" s="786"/>
      <c r="D62" s="786"/>
      <c r="E62" s="786"/>
    </row>
    <row r="63" spans="1:5" x14ac:dyDescent="0.25">
      <c r="A63" s="786"/>
      <c r="B63" s="786"/>
      <c r="C63" s="786"/>
      <c r="D63" s="786"/>
      <c r="E63" s="786"/>
    </row>
    <row r="64" spans="1:5" x14ac:dyDescent="0.25">
      <c r="A64" s="136" t="s">
        <v>688</v>
      </c>
      <c r="B64" s="550"/>
      <c r="C64" s="550"/>
      <c r="D64" s="550"/>
      <c r="E64" s="550"/>
    </row>
    <row r="65" spans="1:5" x14ac:dyDescent="0.25">
      <c r="A65" s="786" t="s">
        <v>689</v>
      </c>
      <c r="B65" s="786"/>
      <c r="C65" s="786"/>
      <c r="D65" s="786"/>
      <c r="E65" s="786"/>
    </row>
    <row r="66" spans="1:5" x14ac:dyDescent="0.25">
      <c r="A66" s="786"/>
      <c r="B66" s="786"/>
      <c r="C66" s="786"/>
      <c r="D66" s="786"/>
      <c r="E66" s="786"/>
    </row>
    <row r="67" spans="1:5" x14ac:dyDescent="0.25">
      <c r="A67" s="786"/>
      <c r="B67" s="786"/>
      <c r="C67" s="786"/>
      <c r="D67" s="786"/>
      <c r="E67" s="786"/>
    </row>
    <row r="68" spans="1:5" ht="15" customHeight="1" x14ac:dyDescent="0.25">
      <c r="A68" s="786" t="s">
        <v>690</v>
      </c>
      <c r="B68" s="786"/>
      <c r="C68" s="786"/>
      <c r="D68" s="786"/>
      <c r="E68" s="786"/>
    </row>
    <row r="69" spans="1:5" ht="15" customHeight="1" x14ac:dyDescent="0.25">
      <c r="A69" s="786" t="s">
        <v>691</v>
      </c>
      <c r="B69" s="786"/>
      <c r="C69" s="786"/>
      <c r="D69" s="786"/>
      <c r="E69" s="786"/>
    </row>
    <row r="70" spans="1:5" x14ac:dyDescent="0.25">
      <c r="A70" s="786"/>
      <c r="B70" s="786"/>
      <c r="C70" s="786"/>
      <c r="D70" s="786"/>
      <c r="E70" s="786"/>
    </row>
    <row r="71" spans="1:5" x14ac:dyDescent="0.25">
      <c r="A71" s="786"/>
      <c r="B71" s="786"/>
      <c r="C71" s="786"/>
      <c r="D71" s="786"/>
      <c r="E71" s="786"/>
    </row>
    <row r="72" spans="1:5" x14ac:dyDescent="0.25">
      <c r="A72" s="786" t="s">
        <v>693</v>
      </c>
      <c r="B72" s="786"/>
      <c r="C72" s="786"/>
      <c r="D72" s="786"/>
      <c r="E72" s="786"/>
    </row>
    <row r="73" spans="1:5" x14ac:dyDescent="0.25">
      <c r="A73" s="786"/>
      <c r="B73" s="786"/>
      <c r="C73" s="786"/>
      <c r="D73" s="786"/>
      <c r="E73" s="786"/>
    </row>
    <row r="74" spans="1:5" x14ac:dyDescent="0.25">
      <c r="A74" s="550"/>
      <c r="B74" s="550"/>
      <c r="C74" s="550"/>
      <c r="D74" s="550"/>
      <c r="E74" s="550"/>
    </row>
    <row r="75" spans="1:5" s="14" customFormat="1" ht="15.75" x14ac:dyDescent="0.25">
      <c r="A75" s="22" t="s">
        <v>615</v>
      </c>
      <c r="B75" s="236"/>
      <c r="C75" s="236"/>
      <c r="D75" s="502"/>
      <c r="E75" s="214"/>
    </row>
    <row r="76" spans="1:5" ht="17.25" x14ac:dyDescent="0.25">
      <c r="A76" s="311" t="s">
        <v>497</v>
      </c>
      <c r="B76" s="785" t="s">
        <v>114</v>
      </c>
      <c r="C76" s="784"/>
      <c r="D76" s="65">
        <v>12000</v>
      </c>
      <c r="E76" s="11"/>
    </row>
    <row r="77" spans="1:5" ht="17.25" x14ac:dyDescent="0.25">
      <c r="A77" s="564" t="s">
        <v>708</v>
      </c>
      <c r="B77" s="785" t="s">
        <v>116</v>
      </c>
      <c r="C77" s="784"/>
      <c r="D77" s="65">
        <v>150000</v>
      </c>
      <c r="E77" s="11"/>
    </row>
    <row r="78" spans="1:5" ht="17.25" x14ac:dyDescent="0.25">
      <c r="A78" s="311" t="s">
        <v>499</v>
      </c>
      <c r="B78" s="785" t="s">
        <v>32</v>
      </c>
      <c r="C78" s="784"/>
      <c r="D78" s="326">
        <v>20</v>
      </c>
      <c r="E78" s="11"/>
    </row>
    <row r="79" spans="1:5" x14ac:dyDescent="0.25">
      <c r="A79" s="734" t="s">
        <v>943</v>
      </c>
      <c r="B79" s="785" t="s">
        <v>158</v>
      </c>
      <c r="C79" s="784"/>
      <c r="D79" s="126">
        <v>8.0199999999999994E-2</v>
      </c>
    </row>
    <row r="80" spans="1:5" x14ac:dyDescent="0.25">
      <c r="A80" s="787" t="s">
        <v>707</v>
      </c>
      <c r="B80" s="787"/>
      <c r="C80" s="787"/>
      <c r="D80" s="787"/>
      <c r="E80" s="787"/>
    </row>
    <row r="81" spans="1:5" x14ac:dyDescent="0.25">
      <c r="A81" s="787"/>
      <c r="B81" s="787"/>
      <c r="C81" s="787"/>
      <c r="D81" s="787"/>
      <c r="E81" s="787"/>
    </row>
    <row r="82" spans="1:5" x14ac:dyDescent="0.25">
      <c r="A82" s="342" t="s">
        <v>706</v>
      </c>
      <c r="B82" s="124"/>
      <c r="C82" s="124"/>
      <c r="D82" s="48"/>
      <c r="E82" s="71"/>
    </row>
    <row r="83" spans="1:5" x14ac:dyDescent="0.25">
      <c r="A83" s="735"/>
      <c r="B83" s="124"/>
      <c r="C83" s="124"/>
      <c r="D83" s="48"/>
    </row>
    <row r="84" spans="1:5" x14ac:dyDescent="0.25">
      <c r="A84" s="566"/>
      <c r="B84" s="567"/>
      <c r="C84" s="567"/>
      <c r="D84" s="568"/>
    </row>
    <row r="85" spans="1:5" ht="45" x14ac:dyDescent="0.25">
      <c r="A85" s="496" t="s">
        <v>761</v>
      </c>
      <c r="B85" s="325" t="s">
        <v>25</v>
      </c>
      <c r="C85" s="325" t="s">
        <v>112</v>
      </c>
      <c r="D85" s="496" t="s">
        <v>630</v>
      </c>
    </row>
    <row r="86" spans="1:5" ht="17.25" x14ac:dyDescent="0.25">
      <c r="A86" s="7" t="s">
        <v>515</v>
      </c>
      <c r="B86" s="68">
        <v>500000</v>
      </c>
      <c r="C86" s="20" t="s">
        <v>394</v>
      </c>
      <c r="D86" s="511">
        <v>2020</v>
      </c>
    </row>
    <row r="87" spans="1:5" ht="30" x14ac:dyDescent="0.25">
      <c r="A87" s="569" t="s">
        <v>710</v>
      </c>
      <c r="B87" s="61">
        <v>0.12</v>
      </c>
      <c r="C87" s="506" t="s">
        <v>621</v>
      </c>
    </row>
    <row r="88" spans="1:5" ht="30" x14ac:dyDescent="0.25">
      <c r="A88" s="602" t="s">
        <v>764</v>
      </c>
      <c r="B88" s="503">
        <f>B87*SUM(D$19:D$25,D$28,D$29)</f>
        <v>5642142.9771428565</v>
      </c>
      <c r="C88" s="505" t="s">
        <v>394</v>
      </c>
      <c r="D88" s="511">
        <v>2020</v>
      </c>
    </row>
    <row r="89" spans="1:5" x14ac:dyDescent="0.25">
      <c r="A89" s="602" t="s">
        <v>768</v>
      </c>
      <c r="B89" s="503">
        <f>B87*D119</f>
        <v>3837999.96</v>
      </c>
      <c r="C89" s="603" t="s">
        <v>394</v>
      </c>
      <c r="D89" s="511">
        <v>2020</v>
      </c>
      <c r="E89" s="601" t="s">
        <v>771</v>
      </c>
    </row>
    <row r="90" spans="1:5" ht="30" x14ac:dyDescent="0.25">
      <c r="A90" s="569" t="s">
        <v>711</v>
      </c>
      <c r="B90" s="61">
        <v>0.04</v>
      </c>
      <c r="C90" s="506" t="s">
        <v>621</v>
      </c>
    </row>
    <row r="91" spans="1:5" ht="30" x14ac:dyDescent="0.25">
      <c r="A91" s="602" t="s">
        <v>765</v>
      </c>
      <c r="B91" s="503">
        <f>B90*SUM(D$19:D$25,D$28,D$29)</f>
        <v>1880714.3257142857</v>
      </c>
      <c r="C91" s="529" t="s">
        <v>394</v>
      </c>
      <c r="D91" s="511">
        <v>2020</v>
      </c>
    </row>
    <row r="92" spans="1:5" x14ac:dyDescent="0.25">
      <c r="A92" s="602" t="s">
        <v>769</v>
      </c>
      <c r="B92" s="503">
        <f>B90*D119</f>
        <v>1279333.32</v>
      </c>
      <c r="C92" s="603" t="s">
        <v>394</v>
      </c>
      <c r="D92" s="511">
        <v>2020</v>
      </c>
      <c r="E92" s="601" t="s">
        <v>771</v>
      </c>
    </row>
    <row r="93" spans="1:5" x14ac:dyDescent="0.25">
      <c r="A93" s="510"/>
      <c r="B93" s="480"/>
      <c r="C93" s="480"/>
    </row>
    <row r="94" spans="1:5" ht="45" x14ac:dyDescent="0.25">
      <c r="A94" s="496" t="s">
        <v>760</v>
      </c>
      <c r="B94" s="496" t="s">
        <v>25</v>
      </c>
      <c r="C94" s="496" t="s">
        <v>112</v>
      </c>
      <c r="D94" s="496" t="s">
        <v>630</v>
      </c>
    </row>
    <row r="95" spans="1:5" ht="17.25" x14ac:dyDescent="0.25">
      <c r="A95" s="504" t="s">
        <v>515</v>
      </c>
      <c r="B95" s="68">
        <v>500000</v>
      </c>
      <c r="C95" s="20" t="s">
        <v>394</v>
      </c>
      <c r="D95" s="511">
        <v>2022</v>
      </c>
    </row>
    <row r="96" spans="1:5" ht="30" x14ac:dyDescent="0.25">
      <c r="A96" s="600" t="s">
        <v>710</v>
      </c>
      <c r="B96" s="570">
        <f>B87</f>
        <v>0.12</v>
      </c>
      <c r="C96" s="506" t="s">
        <v>621</v>
      </c>
    </row>
    <row r="97" spans="1:5" ht="30" x14ac:dyDescent="0.25">
      <c r="A97" s="602" t="s">
        <v>766</v>
      </c>
      <c r="B97" s="503">
        <f>B96*SUM(D$37:D$40,D$43,D$46,D$47)</f>
        <v>8042142.8571428563</v>
      </c>
      <c r="C97" s="505" t="s">
        <v>394</v>
      </c>
      <c r="D97" s="511">
        <v>2022</v>
      </c>
    </row>
    <row r="98" spans="1:5" x14ac:dyDescent="0.25">
      <c r="A98" s="602" t="s">
        <v>770</v>
      </c>
      <c r="B98" s="503">
        <f>B96*D119</f>
        <v>3837999.96</v>
      </c>
      <c r="C98" s="603" t="s">
        <v>394</v>
      </c>
      <c r="D98" s="511">
        <v>2022</v>
      </c>
      <c r="E98" s="601" t="s">
        <v>771</v>
      </c>
    </row>
    <row r="99" spans="1:5" ht="30" x14ac:dyDescent="0.25">
      <c r="A99" s="569" t="s">
        <v>711</v>
      </c>
      <c r="B99" s="570">
        <f>B90</f>
        <v>0.04</v>
      </c>
      <c r="C99" s="506" t="s">
        <v>621</v>
      </c>
    </row>
    <row r="100" spans="1:5" ht="30" x14ac:dyDescent="0.25">
      <c r="A100" s="602" t="s">
        <v>766</v>
      </c>
      <c r="B100" s="503">
        <f>B99*SUM(D$37:D$40,D$43,D$46,D$47)</f>
        <v>2680714.2857142859</v>
      </c>
      <c r="C100" s="505" t="s">
        <v>394</v>
      </c>
      <c r="D100" s="511">
        <v>2022</v>
      </c>
    </row>
    <row r="101" spans="1:5" x14ac:dyDescent="0.25">
      <c r="A101" s="602" t="s">
        <v>770</v>
      </c>
      <c r="B101" s="503">
        <f>B99*D119</f>
        <v>1279333.32</v>
      </c>
      <c r="C101" s="603" t="s">
        <v>394</v>
      </c>
      <c r="D101" s="511">
        <v>2022</v>
      </c>
      <c r="E101" s="601" t="s">
        <v>771</v>
      </c>
    </row>
    <row r="102" spans="1:5" x14ac:dyDescent="0.25">
      <c r="A102" s="133" t="s">
        <v>516</v>
      </c>
    </row>
    <row r="103" spans="1:5" x14ac:dyDescent="0.25">
      <c r="A103" s="133" t="s">
        <v>712</v>
      </c>
    </row>
    <row r="104" spans="1:5" x14ac:dyDescent="0.25">
      <c r="A104" s="133" t="s">
        <v>713</v>
      </c>
    </row>
    <row r="105" spans="1:5" x14ac:dyDescent="0.25">
      <c r="A105" s="133"/>
    </row>
    <row r="106" spans="1:5" ht="33.75" x14ac:dyDescent="0.25">
      <c r="A106" s="310" t="s">
        <v>405</v>
      </c>
      <c r="B106" s="812" t="s">
        <v>346</v>
      </c>
      <c r="C106" s="813"/>
      <c r="D106" s="309" t="s">
        <v>347</v>
      </c>
    </row>
    <row r="107" spans="1:5" x14ac:dyDescent="0.25">
      <c r="A107" s="64" t="s">
        <v>348</v>
      </c>
      <c r="B107" s="788" t="s">
        <v>349</v>
      </c>
      <c r="C107" s="789"/>
      <c r="D107" s="126">
        <v>1</v>
      </c>
    </row>
    <row r="108" spans="1:5" x14ac:dyDescent="0.25">
      <c r="A108" s="64" t="s">
        <v>78</v>
      </c>
      <c r="B108" s="788" t="s">
        <v>349</v>
      </c>
      <c r="C108" s="789"/>
      <c r="D108" s="126">
        <v>0</v>
      </c>
    </row>
    <row r="109" spans="1:5" x14ac:dyDescent="0.25">
      <c r="A109" s="625" t="s">
        <v>824</v>
      </c>
      <c r="B109" s="788" t="s">
        <v>350</v>
      </c>
      <c r="C109" s="789"/>
      <c r="D109" s="126">
        <v>1</v>
      </c>
    </row>
    <row r="110" spans="1:5" x14ac:dyDescent="0.25">
      <c r="A110" s="625" t="s">
        <v>825</v>
      </c>
      <c r="B110" s="788" t="s">
        <v>350</v>
      </c>
      <c r="C110" s="789"/>
      <c r="D110" s="126">
        <v>2</v>
      </c>
    </row>
    <row r="111" spans="1:5" x14ac:dyDescent="0.25">
      <c r="A111" s="64" t="s">
        <v>520</v>
      </c>
      <c r="B111" s="788" t="s">
        <v>351</v>
      </c>
      <c r="C111" s="789"/>
      <c r="D111" s="126">
        <v>3</v>
      </c>
    </row>
    <row r="112" spans="1:5" x14ac:dyDescent="0.25">
      <c r="A112" s="64" t="s">
        <v>521</v>
      </c>
      <c r="B112" s="788" t="s">
        <v>352</v>
      </c>
      <c r="C112" s="789"/>
      <c r="D112" s="126">
        <v>4</v>
      </c>
    </row>
    <row r="113" spans="1:7" x14ac:dyDescent="0.25">
      <c r="A113" s="18" t="s">
        <v>636</v>
      </c>
      <c r="D113" s="63"/>
    </row>
    <row r="114" spans="1:7" x14ac:dyDescent="0.25">
      <c r="D114" s="63"/>
    </row>
    <row r="115" spans="1:7" ht="15.75" x14ac:dyDescent="0.25">
      <c r="A115" s="94" t="s">
        <v>151</v>
      </c>
      <c r="B115" s="804" t="s">
        <v>112</v>
      </c>
      <c r="C115" s="805"/>
      <c r="D115" s="93" t="s">
        <v>25</v>
      </c>
      <c r="E115" s="3"/>
    </row>
    <row r="116" spans="1:7" ht="17.25" x14ac:dyDescent="0.25">
      <c r="A116" s="84" t="s">
        <v>482</v>
      </c>
      <c r="B116" s="785" t="s">
        <v>230</v>
      </c>
      <c r="C116" s="784"/>
      <c r="D116" s="65">
        <f>6316048*1.11</f>
        <v>7010813.2800000003</v>
      </c>
      <c r="E116" s="132"/>
    </row>
    <row r="117" spans="1:7" ht="17.25" x14ac:dyDescent="0.25">
      <c r="A117" s="84" t="s">
        <v>403</v>
      </c>
      <c r="B117" s="785" t="s">
        <v>252</v>
      </c>
      <c r="C117" s="784"/>
      <c r="D117" s="65">
        <f>1795725*1.11</f>
        <v>1993254.7500000002</v>
      </c>
      <c r="E117" s="132"/>
    </row>
    <row r="118" spans="1:7" ht="17.25" x14ac:dyDescent="0.25">
      <c r="A118" s="84" t="s">
        <v>483</v>
      </c>
      <c r="B118" s="785" t="s">
        <v>230</v>
      </c>
      <c r="C118" s="784"/>
      <c r="D118" s="65">
        <v>83200000</v>
      </c>
      <c r="E118" s="132"/>
    </row>
    <row r="119" spans="1:7" s="11" customFormat="1" ht="17.25" x14ac:dyDescent="0.25">
      <c r="A119" s="479" t="s">
        <v>501</v>
      </c>
      <c r="B119" s="792" t="s">
        <v>230</v>
      </c>
      <c r="C119" s="793"/>
      <c r="D119" s="338">
        <f>21983333+10000000</f>
        <v>31983333</v>
      </c>
      <c r="E119" s="132"/>
    </row>
    <row r="120" spans="1:7" ht="17.25" x14ac:dyDescent="0.25">
      <c r="A120" s="317" t="s">
        <v>404</v>
      </c>
      <c r="B120" s="785" t="s">
        <v>93</v>
      </c>
      <c r="C120" s="784"/>
      <c r="D120" s="61">
        <v>0.5</v>
      </c>
      <c r="E120" s="132"/>
    </row>
    <row r="121" spans="1:7" ht="17.25" x14ac:dyDescent="0.25">
      <c r="A121" s="84" t="s">
        <v>502</v>
      </c>
      <c r="B121" s="785" t="s">
        <v>231</v>
      </c>
      <c r="C121" s="784"/>
      <c r="D121" s="65">
        <f>791478*1.11</f>
        <v>878540.58000000007</v>
      </c>
      <c r="E121" s="132"/>
    </row>
    <row r="122" spans="1:7" ht="17.25" x14ac:dyDescent="0.25">
      <c r="A122" s="84" t="s">
        <v>503</v>
      </c>
      <c r="B122" s="785" t="s">
        <v>231</v>
      </c>
      <c r="C122" s="784"/>
      <c r="D122" s="65">
        <f>1468182*1.11</f>
        <v>1629682.0200000003</v>
      </c>
      <c r="E122" s="132"/>
    </row>
    <row r="123" spans="1:7" ht="17.25" x14ac:dyDescent="0.25">
      <c r="A123" s="626" t="s">
        <v>826</v>
      </c>
      <c r="B123" s="785" t="s">
        <v>231</v>
      </c>
      <c r="C123" s="784"/>
      <c r="D123" s="65">
        <f>2850000*1.11</f>
        <v>3163500.0000000005</v>
      </c>
      <c r="E123" s="132"/>
    </row>
    <row r="124" spans="1:7" ht="17.25" x14ac:dyDescent="0.25">
      <c r="A124" s="84" t="s">
        <v>504</v>
      </c>
      <c r="B124" s="785" t="s">
        <v>231</v>
      </c>
      <c r="C124" s="784"/>
      <c r="D124" s="65">
        <f>2256278*1.11</f>
        <v>2504468.58</v>
      </c>
      <c r="E124" s="132"/>
      <c r="G124" s="250"/>
    </row>
    <row r="125" spans="1:7" ht="17.25" x14ac:dyDescent="0.25">
      <c r="A125" s="84" t="s">
        <v>505</v>
      </c>
      <c r="B125" s="785" t="s">
        <v>228</v>
      </c>
      <c r="C125" s="784"/>
      <c r="D125" s="65">
        <v>250000</v>
      </c>
      <c r="E125" s="11"/>
    </row>
    <row r="126" spans="1:7" ht="17.25" x14ac:dyDescent="0.25">
      <c r="A126" s="84" t="s">
        <v>507</v>
      </c>
      <c r="B126" s="785" t="s">
        <v>229</v>
      </c>
      <c r="C126" s="784"/>
      <c r="D126" s="65">
        <v>2355</v>
      </c>
      <c r="E126" s="11"/>
    </row>
    <row r="127" spans="1:7" ht="30" customHeight="1" x14ac:dyDescent="0.25">
      <c r="A127" s="609" t="s">
        <v>777</v>
      </c>
      <c r="B127" s="790" t="s">
        <v>240</v>
      </c>
      <c r="C127" s="791"/>
      <c r="D127" s="65">
        <v>24285</v>
      </c>
      <c r="E127" s="11"/>
    </row>
    <row r="128" spans="1:7" ht="30" customHeight="1" x14ac:dyDescent="0.25">
      <c r="A128" s="609" t="s">
        <v>778</v>
      </c>
      <c r="B128" s="790" t="s">
        <v>240</v>
      </c>
      <c r="C128" s="791"/>
      <c r="D128" s="65">
        <v>50000</v>
      </c>
      <c r="E128" s="11"/>
    </row>
    <row r="129" spans="1:7" ht="30" customHeight="1" x14ac:dyDescent="0.25">
      <c r="A129" s="608" t="s">
        <v>779</v>
      </c>
      <c r="B129" s="790" t="s">
        <v>241</v>
      </c>
      <c r="C129" s="791"/>
      <c r="D129" s="65">
        <v>10000</v>
      </c>
      <c r="E129" s="11"/>
    </row>
    <row r="130" spans="1:7" ht="17.25" x14ac:dyDescent="0.25">
      <c r="A130" s="84" t="s">
        <v>508</v>
      </c>
      <c r="B130" s="785" t="s">
        <v>461</v>
      </c>
      <c r="C130" s="784"/>
      <c r="D130" s="126">
        <v>2021</v>
      </c>
      <c r="E130" s="11"/>
    </row>
    <row r="131" spans="1:7" ht="17.25" x14ac:dyDescent="0.25">
      <c r="A131" s="626" t="s">
        <v>827</v>
      </c>
      <c r="B131" s="785" t="s">
        <v>461</v>
      </c>
      <c r="C131" s="784"/>
      <c r="D131" s="126">
        <v>2025</v>
      </c>
      <c r="E131" s="11"/>
    </row>
    <row r="132" spans="1:7" ht="17.25" x14ac:dyDescent="0.25">
      <c r="A132" s="84" t="s">
        <v>509</v>
      </c>
      <c r="B132" s="785" t="s">
        <v>461</v>
      </c>
      <c r="C132" s="784"/>
      <c r="D132" s="126">
        <v>2027</v>
      </c>
      <c r="E132" s="11"/>
    </row>
    <row r="133" spans="1:7" ht="17.25" x14ac:dyDescent="0.25">
      <c r="A133" s="84" t="s">
        <v>510</v>
      </c>
      <c r="B133" s="785" t="s">
        <v>461</v>
      </c>
      <c r="C133" s="784"/>
      <c r="D133" s="126">
        <v>2029</v>
      </c>
      <c r="E133" s="11"/>
    </row>
    <row r="134" spans="1:7" x14ac:dyDescent="0.25">
      <c r="A134" s="84" t="s">
        <v>150</v>
      </c>
      <c r="B134" s="785" t="s">
        <v>158</v>
      </c>
      <c r="C134" s="784"/>
      <c r="D134" s="126">
        <v>8.0199999999999994E-2</v>
      </c>
      <c r="E134" s="11"/>
    </row>
    <row r="135" spans="1:7" x14ac:dyDescent="0.25">
      <c r="A135" s="84" t="s">
        <v>28</v>
      </c>
      <c r="B135" s="785" t="s">
        <v>158</v>
      </c>
      <c r="C135" s="784"/>
      <c r="D135" s="126">
        <v>0.1295</v>
      </c>
      <c r="E135" s="11"/>
    </row>
    <row r="136" spans="1:7" x14ac:dyDescent="0.25">
      <c r="A136" s="803" t="s">
        <v>716</v>
      </c>
      <c r="B136" s="803"/>
      <c r="C136" s="803"/>
      <c r="D136" s="803"/>
    </row>
    <row r="137" spans="1:7" x14ac:dyDescent="0.25">
      <c r="A137" s="786"/>
      <c r="B137" s="786"/>
      <c r="C137" s="786"/>
      <c r="D137" s="786"/>
    </row>
    <row r="138" spans="1:7" x14ac:dyDescent="0.25">
      <c r="A138" s="133" t="s">
        <v>709</v>
      </c>
      <c r="D138" s="63"/>
    </row>
    <row r="139" spans="1:7" x14ac:dyDescent="0.25">
      <c r="A139" s="18" t="s">
        <v>514</v>
      </c>
      <c r="D139" s="63"/>
    </row>
    <row r="140" spans="1:7" x14ac:dyDescent="0.25">
      <c r="A140" s="133" t="s">
        <v>506</v>
      </c>
      <c r="D140" s="63"/>
    </row>
    <row r="141" spans="1:7" x14ac:dyDescent="0.25">
      <c r="A141" s="133" t="s">
        <v>780</v>
      </c>
      <c r="D141" s="63"/>
    </row>
    <row r="142" spans="1:7" x14ac:dyDescent="0.25">
      <c r="D142" s="63"/>
    </row>
    <row r="143" spans="1:7" ht="15.75" x14ac:dyDescent="0.25">
      <c r="A143" s="22" t="s">
        <v>118</v>
      </c>
      <c r="B143" s="50" t="s">
        <v>127</v>
      </c>
      <c r="C143" s="50" t="s">
        <v>128</v>
      </c>
      <c r="D143" s="50" t="s">
        <v>129</v>
      </c>
      <c r="E143" s="112" t="s">
        <v>130</v>
      </c>
      <c r="F143" s="50" t="s">
        <v>131</v>
      </c>
    </row>
    <row r="144" spans="1:7" ht="15" customHeight="1" x14ac:dyDescent="0.25">
      <c r="A144" s="7" t="s">
        <v>119</v>
      </c>
      <c r="B144" s="809" t="s">
        <v>748</v>
      </c>
      <c r="C144" s="772">
        <v>10000</v>
      </c>
      <c r="D144" s="598" t="s">
        <v>751</v>
      </c>
      <c r="E144" s="775" t="s">
        <v>752</v>
      </c>
      <c r="F144" s="69">
        <v>44348</v>
      </c>
      <c r="G144" s="553"/>
    </row>
    <row r="145" spans="1:7" x14ac:dyDescent="0.25">
      <c r="A145" s="7" t="s">
        <v>120</v>
      </c>
      <c r="B145" s="810"/>
      <c r="C145" s="773"/>
      <c r="D145" s="598" t="s">
        <v>751</v>
      </c>
      <c r="E145" s="776"/>
      <c r="F145" s="69">
        <v>44348</v>
      </c>
      <c r="G145" s="553"/>
    </row>
    <row r="146" spans="1:7" x14ac:dyDescent="0.25">
      <c r="A146" s="627" t="s">
        <v>828</v>
      </c>
      <c r="B146" s="810"/>
      <c r="C146" s="773"/>
      <c r="D146" s="598" t="s">
        <v>751</v>
      </c>
      <c r="E146" s="776"/>
      <c r="F146" s="69">
        <v>44348</v>
      </c>
    </row>
    <row r="147" spans="1:7" x14ac:dyDescent="0.25">
      <c r="A147" s="7" t="s">
        <v>522</v>
      </c>
      <c r="B147" s="810"/>
      <c r="C147" s="773"/>
      <c r="D147" s="598" t="s">
        <v>751</v>
      </c>
      <c r="E147" s="776"/>
      <c r="F147" s="69">
        <v>44348</v>
      </c>
    </row>
    <row r="148" spans="1:7" x14ac:dyDescent="0.25">
      <c r="A148" s="7" t="s">
        <v>523</v>
      </c>
      <c r="B148" s="810"/>
      <c r="C148" s="774"/>
      <c r="D148" s="598" t="s">
        <v>751</v>
      </c>
      <c r="E148" s="777"/>
      <c r="F148" s="69">
        <v>44348</v>
      </c>
    </row>
    <row r="149" spans="1:7" x14ac:dyDescent="0.25">
      <c r="A149" s="7" t="s">
        <v>121</v>
      </c>
      <c r="B149" s="810"/>
      <c r="C149" s="797">
        <v>2500</v>
      </c>
      <c r="D149" s="598" t="s">
        <v>751</v>
      </c>
      <c r="E149" s="775" t="s">
        <v>752</v>
      </c>
      <c r="F149" s="69">
        <v>44348</v>
      </c>
    </row>
    <row r="150" spans="1:7" x14ac:dyDescent="0.25">
      <c r="A150" s="7" t="s">
        <v>122</v>
      </c>
      <c r="B150" s="810"/>
      <c r="C150" s="798"/>
      <c r="D150" s="598" t="s">
        <v>751</v>
      </c>
      <c r="E150" s="776"/>
      <c r="F150" s="69">
        <v>44348</v>
      </c>
    </row>
    <row r="151" spans="1:7" x14ac:dyDescent="0.25">
      <c r="A151" s="627" t="s">
        <v>829</v>
      </c>
      <c r="B151" s="810"/>
      <c r="C151" s="798"/>
      <c r="D151" s="598" t="s">
        <v>751</v>
      </c>
      <c r="E151" s="776"/>
      <c r="F151" s="69">
        <v>44348</v>
      </c>
    </row>
    <row r="152" spans="1:7" x14ac:dyDescent="0.25">
      <c r="A152" s="7" t="s">
        <v>524</v>
      </c>
      <c r="B152" s="810"/>
      <c r="C152" s="798"/>
      <c r="D152" s="598" t="s">
        <v>751</v>
      </c>
      <c r="E152" s="776"/>
      <c r="F152" s="69">
        <v>44348</v>
      </c>
    </row>
    <row r="153" spans="1:7" x14ac:dyDescent="0.25">
      <c r="A153" s="7" t="s">
        <v>525</v>
      </c>
      <c r="B153" s="810"/>
      <c r="C153" s="799"/>
      <c r="D153" s="598" t="s">
        <v>751</v>
      </c>
      <c r="E153" s="777"/>
      <c r="F153" s="69">
        <v>44348</v>
      </c>
    </row>
    <row r="154" spans="1:7" x14ac:dyDescent="0.25">
      <c r="A154" s="627" t="s">
        <v>830</v>
      </c>
      <c r="B154" s="810"/>
      <c r="C154" s="798">
        <v>2500</v>
      </c>
      <c r="D154" s="598" t="s">
        <v>755</v>
      </c>
      <c r="E154" s="776" t="s">
        <v>752</v>
      </c>
      <c r="F154" s="599">
        <v>45444</v>
      </c>
    </row>
    <row r="155" spans="1:7" x14ac:dyDescent="0.25">
      <c r="A155" s="600" t="s">
        <v>753</v>
      </c>
      <c r="B155" s="810"/>
      <c r="C155" s="798"/>
      <c r="D155" s="598" t="s">
        <v>756</v>
      </c>
      <c r="E155" s="776"/>
      <c r="F155" s="599">
        <v>46174</v>
      </c>
    </row>
    <row r="156" spans="1:7" x14ac:dyDescent="0.25">
      <c r="A156" s="600" t="s">
        <v>754</v>
      </c>
      <c r="B156" s="811"/>
      <c r="C156" s="799"/>
      <c r="D156" s="598" t="s">
        <v>757</v>
      </c>
      <c r="E156" s="777"/>
      <c r="F156" s="599">
        <v>46905</v>
      </c>
    </row>
    <row r="157" spans="1:7" ht="15" customHeight="1" x14ac:dyDescent="0.25">
      <c r="A157" s="7" t="s">
        <v>123</v>
      </c>
      <c r="B157" s="268">
        <f>'Vessel Visits'!B14</f>
        <v>3742</v>
      </c>
      <c r="C157" s="772">
        <v>100</v>
      </c>
      <c r="D157" s="800" t="s">
        <v>134</v>
      </c>
      <c r="E157" s="775" t="s">
        <v>133</v>
      </c>
      <c r="F157" s="778" t="s">
        <v>132</v>
      </c>
    </row>
    <row r="158" spans="1:7" x14ac:dyDescent="0.25">
      <c r="A158" s="7" t="s">
        <v>124</v>
      </c>
      <c r="B158" s="268">
        <f>'Vessel Visits'!B64</f>
        <v>527</v>
      </c>
      <c r="C158" s="773"/>
      <c r="D158" s="801"/>
      <c r="E158" s="776"/>
      <c r="F158" s="779"/>
    </row>
    <row r="159" spans="1:7" x14ac:dyDescent="0.25">
      <c r="A159" s="627" t="s">
        <v>831</v>
      </c>
      <c r="B159" s="268">
        <f>'Vessel Visits'!B107</f>
        <v>1017</v>
      </c>
      <c r="C159" s="773"/>
      <c r="D159" s="801"/>
      <c r="E159" s="776"/>
      <c r="F159" s="779"/>
    </row>
    <row r="160" spans="1:7" x14ac:dyDescent="0.25">
      <c r="A160" s="7" t="s">
        <v>526</v>
      </c>
      <c r="B160" s="157">
        <v>610</v>
      </c>
      <c r="C160" s="773"/>
      <c r="D160" s="801"/>
      <c r="E160" s="776"/>
      <c r="F160" s="779"/>
      <c r="G160" s="11"/>
    </row>
    <row r="161" spans="1:7" x14ac:dyDescent="0.25">
      <c r="A161" s="7" t="s">
        <v>527</v>
      </c>
      <c r="B161" s="157">
        <f>1615-610</f>
        <v>1005</v>
      </c>
      <c r="C161" s="773"/>
      <c r="D161" s="801"/>
      <c r="E161" s="776"/>
      <c r="F161" s="779"/>
      <c r="G161" s="11"/>
    </row>
    <row r="162" spans="1:7" x14ac:dyDescent="0.25">
      <c r="A162" s="614" t="s">
        <v>792</v>
      </c>
      <c r="B162" s="157">
        <v>830</v>
      </c>
      <c r="C162" s="773"/>
      <c r="D162" s="801"/>
      <c r="E162" s="776"/>
      <c r="F162" s="779"/>
      <c r="G162" s="11"/>
    </row>
    <row r="163" spans="1:7" x14ac:dyDescent="0.25">
      <c r="A163" s="614" t="s">
        <v>794</v>
      </c>
      <c r="B163" s="157">
        <v>213</v>
      </c>
      <c r="C163" s="774"/>
      <c r="D163" s="802"/>
      <c r="E163" s="777"/>
      <c r="F163" s="779"/>
      <c r="G163" s="11"/>
    </row>
    <row r="164" spans="1:7" x14ac:dyDescent="0.25">
      <c r="A164" s="7" t="s">
        <v>125</v>
      </c>
      <c r="B164" s="268">
        <f>B157</f>
        <v>3742</v>
      </c>
      <c r="C164" s="772">
        <v>100</v>
      </c>
      <c r="D164" s="806" t="str">
        <f>D157</f>
        <v>2021 - 2032</v>
      </c>
      <c r="E164" s="775" t="s">
        <v>133</v>
      </c>
      <c r="F164" s="779"/>
    </row>
    <row r="165" spans="1:7" x14ac:dyDescent="0.25">
      <c r="A165" s="7" t="s">
        <v>126</v>
      </c>
      <c r="B165" s="268">
        <f t="shared" ref="B165:B170" si="0">B158</f>
        <v>527</v>
      </c>
      <c r="C165" s="773"/>
      <c r="D165" s="807"/>
      <c r="E165" s="776"/>
      <c r="F165" s="779"/>
    </row>
    <row r="166" spans="1:7" x14ac:dyDescent="0.25">
      <c r="A166" s="627" t="s">
        <v>832</v>
      </c>
      <c r="B166" s="268">
        <f t="shared" si="0"/>
        <v>1017</v>
      </c>
      <c r="C166" s="773"/>
      <c r="D166" s="807"/>
      <c r="E166" s="776"/>
      <c r="F166" s="779"/>
    </row>
    <row r="167" spans="1:7" x14ac:dyDescent="0.25">
      <c r="A167" s="7" t="s">
        <v>528</v>
      </c>
      <c r="B167" s="268">
        <f t="shared" si="0"/>
        <v>610</v>
      </c>
      <c r="C167" s="773"/>
      <c r="D167" s="807"/>
      <c r="E167" s="776"/>
      <c r="F167" s="779"/>
      <c r="G167" s="11"/>
    </row>
    <row r="168" spans="1:7" x14ac:dyDescent="0.25">
      <c r="A168" s="7" t="s">
        <v>529</v>
      </c>
      <c r="B168" s="268">
        <f t="shared" si="0"/>
        <v>1005</v>
      </c>
      <c r="C168" s="773"/>
      <c r="D168" s="807"/>
      <c r="E168" s="776"/>
      <c r="F168" s="779"/>
      <c r="G168" s="11"/>
    </row>
    <row r="169" spans="1:7" x14ac:dyDescent="0.25">
      <c r="A169" s="614" t="s">
        <v>795</v>
      </c>
      <c r="B169" s="268">
        <f t="shared" si="0"/>
        <v>830</v>
      </c>
      <c r="C169" s="773"/>
      <c r="D169" s="807"/>
      <c r="E169" s="776"/>
      <c r="F169" s="779"/>
      <c r="G169" s="11"/>
    </row>
    <row r="170" spans="1:7" x14ac:dyDescent="0.25">
      <c r="A170" s="614" t="s">
        <v>793</v>
      </c>
      <c r="B170" s="268">
        <f t="shared" si="0"/>
        <v>213</v>
      </c>
      <c r="C170" s="774"/>
      <c r="D170" s="808"/>
      <c r="E170" s="777"/>
      <c r="F170" s="780"/>
      <c r="G170" s="11"/>
    </row>
    <row r="171" spans="1:7" x14ac:dyDescent="0.25">
      <c r="B171" s="18"/>
    </row>
    <row r="172" spans="1:7" ht="18" x14ac:dyDescent="0.25">
      <c r="A172" s="22" t="s">
        <v>517</v>
      </c>
    </row>
    <row r="173" spans="1:7" ht="30" x14ac:dyDescent="0.25">
      <c r="A173" s="299" t="s">
        <v>337</v>
      </c>
      <c r="B173" s="299" t="s">
        <v>338</v>
      </c>
      <c r="C173" s="299" t="s">
        <v>339</v>
      </c>
      <c r="D173" s="299" t="s">
        <v>340</v>
      </c>
      <c r="E173" s="299" t="s">
        <v>343</v>
      </c>
    </row>
    <row r="174" spans="1:7" x14ac:dyDescent="0.25">
      <c r="A174" s="7" t="s">
        <v>341</v>
      </c>
      <c r="B174" s="51">
        <v>1</v>
      </c>
      <c r="C174" s="611">
        <v>2021</v>
      </c>
      <c r="D174" s="68">
        <v>180000</v>
      </c>
      <c r="E174" s="457">
        <f>D174-1000</f>
        <v>179000</v>
      </c>
      <c r="F174" s="553"/>
    </row>
    <row r="175" spans="1:7" x14ac:dyDescent="0.25">
      <c r="A175" s="7" t="s">
        <v>341</v>
      </c>
      <c r="B175" s="51">
        <v>1</v>
      </c>
      <c r="C175" s="611">
        <v>2027</v>
      </c>
      <c r="D175" s="457">
        <f>D174</f>
        <v>180000</v>
      </c>
      <c r="E175" s="457">
        <f>E174</f>
        <v>179000</v>
      </c>
      <c r="F175" s="553"/>
    </row>
    <row r="176" spans="1:7" x14ac:dyDescent="0.25">
      <c r="A176" s="614" t="s">
        <v>802</v>
      </c>
      <c r="B176" s="51">
        <v>1</v>
      </c>
      <c r="C176" s="611">
        <v>2021</v>
      </c>
      <c r="D176" s="68">
        <v>88000</v>
      </c>
      <c r="E176" s="457">
        <f>D176-1000</f>
        <v>87000</v>
      </c>
      <c r="F176" s="553"/>
    </row>
    <row r="177" spans="1:5" x14ac:dyDescent="0.25">
      <c r="A177" s="7" t="s">
        <v>342</v>
      </c>
      <c r="B177" s="51">
        <v>1</v>
      </c>
      <c r="C177" s="70">
        <v>2020</v>
      </c>
      <c r="D177" s="68">
        <v>189000</v>
      </c>
      <c r="E177" s="457">
        <f>D177-1000</f>
        <v>188000</v>
      </c>
    </row>
    <row r="178" spans="1:5" x14ac:dyDescent="0.25">
      <c r="A178" s="614" t="s">
        <v>800</v>
      </c>
      <c r="B178" s="51">
        <v>2</v>
      </c>
      <c r="C178" s="70">
        <v>2021</v>
      </c>
      <c r="D178" s="457">
        <f>D174</f>
        <v>180000</v>
      </c>
      <c r="E178" s="457">
        <f>D178-1000</f>
        <v>179000</v>
      </c>
    </row>
    <row r="179" spans="1:5" x14ac:dyDescent="0.25">
      <c r="A179" s="614" t="s">
        <v>801</v>
      </c>
      <c r="B179" s="51">
        <v>1</v>
      </c>
      <c r="C179" s="70">
        <v>2020</v>
      </c>
      <c r="D179" s="457">
        <f>D176</f>
        <v>88000</v>
      </c>
      <c r="E179" s="457">
        <f>D179-1000</f>
        <v>87000</v>
      </c>
    </row>
    <row r="180" spans="1:5" s="21" customFormat="1" x14ac:dyDescent="0.25">
      <c r="A180" s="18" t="s">
        <v>518</v>
      </c>
      <c r="B180" s="14"/>
      <c r="C180" s="14"/>
      <c r="D180" s="480"/>
      <c r="E180" s="480"/>
    </row>
    <row r="182" spans="1:5" ht="18" x14ac:dyDescent="0.25">
      <c r="A182" s="22" t="s">
        <v>575</v>
      </c>
    </row>
    <row r="183" spans="1:5" ht="30" x14ac:dyDescent="0.25">
      <c r="A183" s="299" t="s">
        <v>344</v>
      </c>
      <c r="B183" s="299" t="s">
        <v>338</v>
      </c>
      <c r="C183" s="299" t="s">
        <v>339</v>
      </c>
      <c r="D183" s="299" t="s">
        <v>340</v>
      </c>
      <c r="E183" s="299" t="s">
        <v>343</v>
      </c>
    </row>
    <row r="184" spans="1:5" x14ac:dyDescent="0.25">
      <c r="A184" s="10" t="s">
        <v>345</v>
      </c>
      <c r="B184" s="51">
        <v>2</v>
      </c>
      <c r="C184" s="51">
        <v>2021</v>
      </c>
      <c r="D184" s="457">
        <f>D177</f>
        <v>189000</v>
      </c>
      <c r="E184" s="457">
        <f>E177</f>
        <v>188000</v>
      </c>
    </row>
    <row r="185" spans="1:5" x14ac:dyDescent="0.25">
      <c r="A185" s="571" t="s">
        <v>728</v>
      </c>
      <c r="B185" s="51">
        <v>1</v>
      </c>
      <c r="C185" s="51">
        <v>2021</v>
      </c>
      <c r="D185" s="457">
        <f>D177</f>
        <v>189000</v>
      </c>
      <c r="E185" s="457">
        <f>E177</f>
        <v>188000</v>
      </c>
    </row>
    <row r="186" spans="1:5" s="267" customFormat="1" x14ac:dyDescent="0.25">
      <c r="A186" s="244" t="s">
        <v>717</v>
      </c>
      <c r="B186" s="157">
        <v>1</v>
      </c>
      <c r="C186" s="157">
        <v>2021</v>
      </c>
      <c r="D186" s="391">
        <f>D177</f>
        <v>189000</v>
      </c>
      <c r="E186" s="391">
        <f>E177</f>
        <v>188000</v>
      </c>
    </row>
    <row r="187" spans="1:5" s="267" customFormat="1" x14ac:dyDescent="0.25">
      <c r="A187" s="244" t="s">
        <v>725</v>
      </c>
      <c r="B187" s="157">
        <v>1</v>
      </c>
      <c r="C187" s="157">
        <v>2021</v>
      </c>
      <c r="D187" s="391">
        <f>D177</f>
        <v>189000</v>
      </c>
      <c r="E187" s="391">
        <f>E177</f>
        <v>188000</v>
      </c>
    </row>
    <row r="188" spans="1:5" x14ac:dyDescent="0.25">
      <c r="A188" s="18" t="s">
        <v>519</v>
      </c>
    </row>
  </sheetData>
  <sheetProtection algorithmName="SHA-512" hashValue="NEj1l+NYnC7EawIlGEKjqsRpVyXs2OvJJ+Ez41Zvxrnwx655J16fZRZkiFZKCBXX3BzN8jqVwtcZB7Jm8bM9mg==" saltValue="nEjdnlda0iVvZcO9fidftA==" spinCount="100000" sheet="1" objects="1" scenarios="1"/>
  <mergeCells count="99">
    <mergeCell ref="B1:D1"/>
    <mergeCell ref="B2:D2"/>
    <mergeCell ref="B4:D4"/>
    <mergeCell ref="B7:C7"/>
    <mergeCell ref="B6:C6"/>
    <mergeCell ref="B3:D3"/>
    <mergeCell ref="B12:C12"/>
    <mergeCell ref="B11:C11"/>
    <mergeCell ref="B13:C13"/>
    <mergeCell ref="B19:C19"/>
    <mergeCell ref="D164:D170"/>
    <mergeCell ref="C154:C156"/>
    <mergeCell ref="B144:B156"/>
    <mergeCell ref="B128:C128"/>
    <mergeCell ref="B45:C45"/>
    <mergeCell ref="B79:C79"/>
    <mergeCell ref="B106:C106"/>
    <mergeCell ref="B78:C78"/>
    <mergeCell ref="B46:C46"/>
    <mergeCell ref="B44:C44"/>
    <mergeCell ref="B112:C112"/>
    <mergeCell ref="B107:C107"/>
    <mergeCell ref="B10:C10"/>
    <mergeCell ref="B20:C20"/>
    <mergeCell ref="B23:C23"/>
    <mergeCell ref="B14:C14"/>
    <mergeCell ref="B115:C115"/>
    <mergeCell ref="B38:C38"/>
    <mergeCell ref="B39:C39"/>
    <mergeCell ref="B33:C33"/>
    <mergeCell ref="B41:C41"/>
    <mergeCell ref="B37:C37"/>
    <mergeCell ref="B31:C31"/>
    <mergeCell ref="B110:C110"/>
    <mergeCell ref="A65:E67"/>
    <mergeCell ref="B21:C21"/>
    <mergeCell ref="B26:C26"/>
    <mergeCell ref="A60:E61"/>
    <mergeCell ref="B108:C108"/>
    <mergeCell ref="B123:C123"/>
    <mergeCell ref="B118:C118"/>
    <mergeCell ref="B117:C117"/>
    <mergeCell ref="B116:C116"/>
    <mergeCell ref="E157:E163"/>
    <mergeCell ref="C157:C163"/>
    <mergeCell ref="B124:C124"/>
    <mergeCell ref="B119:C119"/>
    <mergeCell ref="B121:C121"/>
    <mergeCell ref="C149:C153"/>
    <mergeCell ref="E149:E153"/>
    <mergeCell ref="B132:C132"/>
    <mergeCell ref="E144:E148"/>
    <mergeCell ref="D157:D163"/>
    <mergeCell ref="A136:D137"/>
    <mergeCell ref="B134:C134"/>
    <mergeCell ref="C144:C148"/>
    <mergeCell ref="B135:C135"/>
    <mergeCell ref="B133:C133"/>
    <mergeCell ref="E154:E156"/>
    <mergeCell ref="B30:C30"/>
    <mergeCell ref="B32:C32"/>
    <mergeCell ref="B49:C49"/>
    <mergeCell ref="B43:C43"/>
    <mergeCell ref="B22:C22"/>
    <mergeCell ref="B40:C40"/>
    <mergeCell ref="B42:C42"/>
    <mergeCell ref="B24:C24"/>
    <mergeCell ref="B25:C25"/>
    <mergeCell ref="B77:C77"/>
    <mergeCell ref="B52:C52"/>
    <mergeCell ref="B76:C76"/>
    <mergeCell ref="B34:C34"/>
    <mergeCell ref="B48:C48"/>
    <mergeCell ref="A68:E68"/>
    <mergeCell ref="A62:E63"/>
    <mergeCell ref="B51:C51"/>
    <mergeCell ref="A55:E58"/>
    <mergeCell ref="A69:E71"/>
    <mergeCell ref="B125:C125"/>
    <mergeCell ref="B131:C131"/>
    <mergeCell ref="B126:C126"/>
    <mergeCell ref="B127:C127"/>
    <mergeCell ref="B129:C129"/>
    <mergeCell ref="C164:C170"/>
    <mergeCell ref="E164:E170"/>
    <mergeCell ref="F157:F170"/>
    <mergeCell ref="B50:C50"/>
    <mergeCell ref="B27:C27"/>
    <mergeCell ref="B28:C28"/>
    <mergeCell ref="B29:C29"/>
    <mergeCell ref="B47:C47"/>
    <mergeCell ref="A59:E59"/>
    <mergeCell ref="A72:E73"/>
    <mergeCell ref="A80:E81"/>
    <mergeCell ref="B120:C120"/>
    <mergeCell ref="B122:C122"/>
    <mergeCell ref="B109:C109"/>
    <mergeCell ref="B111:C111"/>
    <mergeCell ref="B130:C130"/>
  </mergeCells>
  <pageMargins left="0.7" right="0.7" top="0.75" bottom="0.75" header="0.3" footer="0.3"/>
  <pageSetup paperSize="5" scale="97" orientation="landscape" r:id="rId1"/>
  <rowBreaks count="7" manualBreakCount="7">
    <brk id="17" max="16383" man="1"/>
    <brk id="35" max="16383" man="1"/>
    <brk id="64" max="5" man="1"/>
    <brk id="93" max="16383" man="1"/>
    <brk id="114" max="16383" man="1"/>
    <brk id="142" max="16383" man="1"/>
    <brk id="171"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00"/>
  </sheetPr>
  <dimension ref="A1:J118"/>
  <sheetViews>
    <sheetView zoomScaleNormal="100" zoomScaleSheetLayoutView="80" workbookViewId="0">
      <selection activeCell="D22" sqref="D22"/>
    </sheetView>
  </sheetViews>
  <sheetFormatPr defaultColWidth="9.140625" defaultRowHeight="15" x14ac:dyDescent="0.25"/>
  <cols>
    <col min="1" max="1" width="27.7109375" style="21" customWidth="1"/>
    <col min="2" max="5" width="15.28515625" style="21" customWidth="1"/>
    <col min="6" max="7" width="16.140625" style="21" customWidth="1"/>
    <col min="8" max="16384" width="9.140625" style="21"/>
  </cols>
  <sheetData>
    <row r="1" spans="1:6" ht="18.75" x14ac:dyDescent="0.3">
      <c r="A1" s="2" t="s">
        <v>85</v>
      </c>
      <c r="D1" s="754" t="s">
        <v>386</v>
      </c>
      <c r="E1" s="754"/>
      <c r="F1" s="754"/>
    </row>
    <row r="2" spans="1:6" x14ac:dyDescent="0.25">
      <c r="D2" s="818" t="s">
        <v>379</v>
      </c>
      <c r="E2" s="818"/>
      <c r="F2" s="818"/>
    </row>
    <row r="3" spans="1:6" x14ac:dyDescent="0.25">
      <c r="D3" s="788" t="s">
        <v>374</v>
      </c>
      <c r="E3" s="814"/>
      <c r="F3" s="789"/>
    </row>
    <row r="4" spans="1:6" x14ac:dyDescent="0.25">
      <c r="D4" s="815" t="s">
        <v>375</v>
      </c>
      <c r="E4" s="816"/>
      <c r="F4" s="817"/>
    </row>
    <row r="6" spans="1:6" s="1" customFormat="1" x14ac:dyDescent="0.25">
      <c r="D6" s="63"/>
    </row>
    <row r="7" spans="1:6" s="1" customFormat="1" ht="15.75" x14ac:dyDescent="0.25">
      <c r="A7" s="22" t="s">
        <v>380</v>
      </c>
      <c r="B7" s="73"/>
      <c r="C7" s="73"/>
      <c r="D7" s="315"/>
    </row>
    <row r="8" spans="1:6" s="1" customFormat="1" ht="105" x14ac:dyDescent="0.25">
      <c r="A8" s="12" t="s">
        <v>77</v>
      </c>
      <c r="B8" s="312" t="s">
        <v>444</v>
      </c>
      <c r="C8" s="151" t="s">
        <v>536</v>
      </c>
      <c r="D8" s="316"/>
    </row>
    <row r="9" spans="1:6" s="1" customFormat="1" ht="17.25" x14ac:dyDescent="0.25">
      <c r="A9" s="7" t="s">
        <v>532</v>
      </c>
      <c r="B9" s="385">
        <f>B20*D20+B21*D21+B22*D22+B25*D25</f>
        <v>1053.351354175441</v>
      </c>
      <c r="C9" s="330">
        <v>38.7546172626759</v>
      </c>
      <c r="D9" s="11"/>
    </row>
    <row r="10" spans="1:6" s="1" customFormat="1" x14ac:dyDescent="0.25">
      <c r="A10" s="7" t="s">
        <v>117</v>
      </c>
      <c r="B10" s="313">
        <v>5620</v>
      </c>
      <c r="C10" s="330">
        <v>11.243408662899901</v>
      </c>
      <c r="D10" s="11"/>
    </row>
    <row r="11" spans="1:6" s="1" customFormat="1" ht="17.25" x14ac:dyDescent="0.25">
      <c r="A11" s="627" t="s">
        <v>834</v>
      </c>
      <c r="B11" s="313">
        <v>1159</v>
      </c>
      <c r="C11" s="330">
        <v>19.8</v>
      </c>
    </row>
    <row r="12" spans="1:6" s="1" customFormat="1" ht="17.25" x14ac:dyDescent="0.25">
      <c r="A12" s="7" t="s">
        <v>533</v>
      </c>
      <c r="B12" s="385">
        <f>E20*G20+E21*G21+E26*G26+E27*G27+E28*G28+E29*G29</f>
        <v>943.79758380144733</v>
      </c>
      <c r="C12" s="330">
        <v>40.700000000000003</v>
      </c>
    </row>
    <row r="13" spans="1:6" x14ac:dyDescent="0.25">
      <c r="A13" s="127" t="s">
        <v>534</v>
      </c>
      <c r="B13" s="14"/>
      <c r="C13" s="14"/>
      <c r="D13" s="14"/>
      <c r="E13" s="72"/>
    </row>
    <row r="14" spans="1:6" x14ac:dyDescent="0.25">
      <c r="A14" s="127" t="s">
        <v>835</v>
      </c>
      <c r="B14" s="14"/>
      <c r="C14" s="14"/>
      <c r="D14" s="14"/>
      <c r="E14" s="72"/>
    </row>
    <row r="15" spans="1:6" x14ac:dyDescent="0.25">
      <c r="A15" s="127" t="s">
        <v>535</v>
      </c>
      <c r="B15" s="14"/>
      <c r="C15" s="14"/>
      <c r="D15" s="14"/>
      <c r="E15" s="72"/>
    </row>
    <row r="16" spans="1:6" x14ac:dyDescent="0.25">
      <c r="A16" s="127"/>
      <c r="B16" s="14"/>
      <c r="C16" s="14"/>
      <c r="D16" s="14"/>
      <c r="E16" s="72"/>
    </row>
    <row r="17" spans="1:7" x14ac:dyDescent="0.25">
      <c r="A17" s="127"/>
      <c r="B17" s="14"/>
      <c r="C17" s="14"/>
      <c r="D17" s="14"/>
      <c r="E17" s="72"/>
    </row>
    <row r="18" spans="1:7" ht="30" customHeight="1" x14ac:dyDescent="0.25">
      <c r="A18" s="830" t="s">
        <v>445</v>
      </c>
      <c r="B18" s="821" t="s">
        <v>13</v>
      </c>
      <c r="C18" s="821"/>
      <c r="D18" s="821"/>
      <c r="E18" s="821" t="s">
        <v>376</v>
      </c>
      <c r="F18" s="821"/>
      <c r="G18" s="821"/>
    </row>
    <row r="19" spans="1:7" ht="47.25" x14ac:dyDescent="0.25">
      <c r="A19" s="830"/>
      <c r="B19" s="319" t="s">
        <v>537</v>
      </c>
      <c r="C19" s="312" t="s">
        <v>377</v>
      </c>
      <c r="D19" s="312" t="s">
        <v>378</v>
      </c>
      <c r="E19" s="319" t="s">
        <v>537</v>
      </c>
      <c r="F19" s="312" t="s">
        <v>377</v>
      </c>
      <c r="G19" s="312" t="s">
        <v>378</v>
      </c>
    </row>
    <row r="20" spans="1:7" x14ac:dyDescent="0.25">
      <c r="A20" s="7" t="s">
        <v>0</v>
      </c>
      <c r="B20" s="203">
        <v>1100.6601737686922</v>
      </c>
      <c r="C20" s="82">
        <f>'Vessel Visits'!B9</f>
        <v>1029</v>
      </c>
      <c r="D20" s="454">
        <f>C20/SUM(C$20:C$29)</f>
        <v>0.27886178861788619</v>
      </c>
      <c r="E20" s="203">
        <v>735.50627615062763</v>
      </c>
      <c r="F20" s="82">
        <f>'Vessel Visits'!B146</f>
        <v>187</v>
      </c>
      <c r="G20" s="454">
        <f>F20/SUM(F$20:F$29)</f>
        <v>0.14166666666666666</v>
      </c>
    </row>
    <row r="21" spans="1:7" x14ac:dyDescent="0.25">
      <c r="A21" s="7" t="s">
        <v>1</v>
      </c>
      <c r="B21" s="203">
        <v>1057.2511522640543</v>
      </c>
      <c r="C21" s="82">
        <f>'Vessel Visits'!B10</f>
        <v>909</v>
      </c>
      <c r="D21" s="454">
        <f t="shared" ref="D21:D22" si="0">C21/SUM(C$20:C$29)</f>
        <v>0.24634146341463414</v>
      </c>
      <c r="E21" s="203">
        <v>999.97169074580245</v>
      </c>
      <c r="F21" s="82">
        <f>'Vessel Visits'!B147</f>
        <v>359</v>
      </c>
      <c r="G21" s="454">
        <f>F21/SUM(F$20:F$29)</f>
        <v>0.27196969696969697</v>
      </c>
    </row>
    <row r="22" spans="1:7" x14ac:dyDescent="0.25">
      <c r="A22" s="7" t="s">
        <v>2</v>
      </c>
      <c r="B22" s="203">
        <v>1051.5845683728037</v>
      </c>
      <c r="C22" s="82">
        <f>'Vessel Visits'!B11</f>
        <v>1597</v>
      </c>
      <c r="D22" s="454">
        <f t="shared" si="0"/>
        <v>0.43279132791327912</v>
      </c>
      <c r="E22" s="162"/>
      <c r="F22" s="162"/>
      <c r="G22" s="162"/>
    </row>
    <row r="23" spans="1:7" x14ac:dyDescent="0.25">
      <c r="A23" s="7" t="s">
        <v>3</v>
      </c>
      <c r="B23" s="162"/>
      <c r="C23" s="162"/>
      <c r="D23" s="162"/>
      <c r="E23" s="162"/>
      <c r="F23" s="162"/>
      <c r="G23" s="162"/>
    </row>
    <row r="24" spans="1:7" x14ac:dyDescent="0.25">
      <c r="A24" s="7" t="s">
        <v>4</v>
      </c>
      <c r="B24" s="162"/>
      <c r="C24" s="162"/>
      <c r="D24" s="162"/>
      <c r="E24" s="162"/>
      <c r="F24" s="162"/>
      <c r="G24" s="162"/>
    </row>
    <row r="25" spans="1:7" x14ac:dyDescent="0.25">
      <c r="A25" s="7" t="s">
        <v>5</v>
      </c>
      <c r="B25" s="203">
        <v>734.6149999999999</v>
      </c>
      <c r="C25" s="82">
        <f>'Vessel Visits'!B13</f>
        <v>155</v>
      </c>
      <c r="D25" s="454">
        <f t="shared" ref="D25" si="1">C25/SUM(C$20:C$29)</f>
        <v>4.2005420054200542E-2</v>
      </c>
      <c r="E25" s="162"/>
      <c r="F25" s="162"/>
      <c r="G25" s="162"/>
    </row>
    <row r="26" spans="1:7" x14ac:dyDescent="0.25">
      <c r="A26" s="58" t="s">
        <v>530</v>
      </c>
      <c r="B26" s="162"/>
      <c r="C26" s="162"/>
      <c r="D26" s="162"/>
      <c r="E26" s="203">
        <v>784</v>
      </c>
      <c r="F26" s="82">
        <f>'Vessel Visits'!B180</f>
        <v>34</v>
      </c>
      <c r="G26" s="454">
        <f t="shared" ref="G26:G29" si="2">F26/SUM(F$20:F$29)</f>
        <v>2.5757575757575757E-2</v>
      </c>
    </row>
    <row r="27" spans="1:7" x14ac:dyDescent="0.25">
      <c r="A27" s="58" t="s">
        <v>531</v>
      </c>
      <c r="B27" s="162"/>
      <c r="C27" s="162"/>
      <c r="D27" s="162"/>
      <c r="E27" s="203">
        <v>981.38</v>
      </c>
      <c r="F27" s="82">
        <f>'Vessel Visits'!B181</f>
        <v>391</v>
      </c>
      <c r="G27" s="454">
        <f t="shared" si="2"/>
        <v>0.2962121212121212</v>
      </c>
    </row>
    <row r="28" spans="1:7" ht="17.25" x14ac:dyDescent="0.25">
      <c r="A28" s="58" t="s">
        <v>538</v>
      </c>
      <c r="B28" s="162"/>
      <c r="C28" s="162"/>
      <c r="D28" s="162"/>
      <c r="E28" s="203">
        <f>AVERAGE(1157.81,1010.23,769.92)</f>
        <v>979.32</v>
      </c>
      <c r="F28" s="82">
        <f>'Vessel Visits'!B182</f>
        <v>241</v>
      </c>
      <c r="G28" s="454">
        <f t="shared" si="2"/>
        <v>0.18257575757575759</v>
      </c>
    </row>
    <row r="29" spans="1:7" ht="17.25" x14ac:dyDescent="0.25">
      <c r="A29" s="58" t="s">
        <v>539</v>
      </c>
      <c r="B29" s="162"/>
      <c r="C29" s="162"/>
      <c r="D29" s="162"/>
      <c r="E29" s="203">
        <f>AVERAGE(784,1121.4)</f>
        <v>952.7</v>
      </c>
      <c r="F29" s="82">
        <f>'Vessel Visits'!B183</f>
        <v>108</v>
      </c>
      <c r="G29" s="454">
        <f t="shared" si="2"/>
        <v>8.1818181818181818E-2</v>
      </c>
    </row>
    <row r="30" spans="1:7" x14ac:dyDescent="0.25">
      <c r="A30" s="127"/>
      <c r="B30" s="14"/>
      <c r="C30" s="14"/>
      <c r="D30" s="32">
        <f>SUM(D20:D29)</f>
        <v>0.99999999999999989</v>
      </c>
      <c r="E30" s="72"/>
      <c r="G30" s="454">
        <f>SUM(G20:G29)</f>
        <v>1</v>
      </c>
    </row>
    <row r="31" spans="1:7" x14ac:dyDescent="0.25">
      <c r="A31" s="829" t="s">
        <v>540</v>
      </c>
      <c r="B31" s="829"/>
      <c r="C31" s="829"/>
      <c r="D31" s="829"/>
      <c r="E31" s="829"/>
      <c r="F31" s="829"/>
      <c r="G31" s="829"/>
    </row>
    <row r="32" spans="1:7" x14ac:dyDescent="0.25">
      <c r="A32" s="829"/>
      <c r="B32" s="829"/>
      <c r="C32" s="829"/>
      <c r="D32" s="829"/>
      <c r="E32" s="829"/>
      <c r="F32" s="829"/>
      <c r="G32" s="829"/>
    </row>
    <row r="33" spans="1:10" x14ac:dyDescent="0.25">
      <c r="A33" s="127" t="s">
        <v>541</v>
      </c>
      <c r="B33" s="14"/>
      <c r="C33" s="14"/>
      <c r="D33" s="14"/>
      <c r="E33" s="72"/>
    </row>
    <row r="34" spans="1:10" x14ac:dyDescent="0.25">
      <c r="A34" s="127" t="s">
        <v>542</v>
      </c>
      <c r="B34" s="14"/>
      <c r="C34" s="14"/>
      <c r="D34" s="14"/>
      <c r="E34" s="72"/>
    </row>
    <row r="35" spans="1:10" x14ac:dyDescent="0.25">
      <c r="A35" s="127"/>
      <c r="B35" s="14"/>
      <c r="C35" s="14"/>
      <c r="D35" s="14"/>
      <c r="E35" s="72"/>
    </row>
    <row r="36" spans="1:10" x14ac:dyDescent="0.25">
      <c r="A36" s="127"/>
      <c r="B36" s="14"/>
      <c r="C36" s="14"/>
      <c r="D36" s="14"/>
      <c r="E36" s="72"/>
    </row>
    <row r="37" spans="1:10" ht="15.75" x14ac:dyDescent="0.25">
      <c r="A37" s="22" t="s">
        <v>86</v>
      </c>
    </row>
    <row r="38" spans="1:10" ht="15" customHeight="1" x14ac:dyDescent="0.25">
      <c r="A38" s="831" t="s">
        <v>80</v>
      </c>
      <c r="B38" s="821" t="s">
        <v>543</v>
      </c>
      <c r="C38" s="821"/>
      <c r="D38" s="821"/>
      <c r="E38" s="821"/>
      <c r="F38" s="821" t="s">
        <v>585</v>
      </c>
    </row>
    <row r="39" spans="1:10" ht="30" customHeight="1" x14ac:dyDescent="0.25">
      <c r="A39" s="832"/>
      <c r="B39" s="821"/>
      <c r="C39" s="821"/>
      <c r="D39" s="821"/>
      <c r="E39" s="821"/>
      <c r="F39" s="821"/>
    </row>
    <row r="40" spans="1:10" ht="45" customHeight="1" x14ac:dyDescent="0.25">
      <c r="A40" s="23" t="s">
        <v>87</v>
      </c>
      <c r="B40" s="24" t="s">
        <v>88</v>
      </c>
      <c r="C40" s="24" t="s">
        <v>89</v>
      </c>
      <c r="D40" s="24" t="s">
        <v>90</v>
      </c>
      <c r="E40" s="24" t="s">
        <v>91</v>
      </c>
      <c r="F40" s="821"/>
    </row>
    <row r="41" spans="1:10" ht="15" customHeight="1" x14ac:dyDescent="0.25">
      <c r="A41" s="19">
        <v>2019</v>
      </c>
      <c r="B41" s="55">
        <v>17.887613504009796</v>
      </c>
      <c r="C41" s="55">
        <v>16.252293669847827</v>
      </c>
      <c r="D41" s="55">
        <v>20.561020770532156</v>
      </c>
      <c r="E41" s="55">
        <v>15.712295005077788</v>
      </c>
      <c r="F41" s="455">
        <f>AVERAGE(B41:E41)/100</f>
        <v>0.17603305737366892</v>
      </c>
      <c r="H41" s="25"/>
      <c r="J41" s="26"/>
    </row>
    <row r="42" spans="1:10" x14ac:dyDescent="0.25">
      <c r="A42" s="19">
        <v>2020</v>
      </c>
      <c r="B42" s="55">
        <v>17.505890681031374</v>
      </c>
      <c r="C42" s="55">
        <v>16.477323084626104</v>
      </c>
      <c r="D42" s="55">
        <v>20.72202009667528</v>
      </c>
      <c r="E42" s="55">
        <v>15.648289219997675</v>
      </c>
      <c r="F42" s="455">
        <f t="shared" ref="F42:F52" si="3">AVERAGE(B42:E42)/100</f>
        <v>0.1758838077058261</v>
      </c>
      <c r="H42" s="25"/>
      <c r="J42" s="26"/>
    </row>
    <row r="43" spans="1:10" x14ac:dyDescent="0.25">
      <c r="A43" s="19">
        <v>2021</v>
      </c>
      <c r="B43" s="55">
        <v>17.544775486941916</v>
      </c>
      <c r="C43" s="55">
        <v>16.470130408816534</v>
      </c>
      <c r="D43" s="55">
        <v>21.110494550736703</v>
      </c>
      <c r="E43" s="55">
        <v>15.654872259968419</v>
      </c>
      <c r="F43" s="455">
        <f t="shared" si="3"/>
        <v>0.17695068176615891</v>
      </c>
      <c r="H43" s="25"/>
      <c r="J43" s="26"/>
    </row>
    <row r="44" spans="1:10" x14ac:dyDescent="0.25">
      <c r="A44" s="19">
        <v>2022</v>
      </c>
      <c r="B44" s="55">
        <v>17.492699251054226</v>
      </c>
      <c r="C44" s="55">
        <v>16.669217256315999</v>
      </c>
      <c r="D44" s="55">
        <v>20.277747776268011</v>
      </c>
      <c r="E44" s="55">
        <v>15.715465679089707</v>
      </c>
      <c r="F44" s="455">
        <f t="shared" si="3"/>
        <v>0.17538782490681984</v>
      </c>
      <c r="H44" s="25"/>
      <c r="J44" s="26"/>
    </row>
    <row r="45" spans="1:10" x14ac:dyDescent="0.25">
      <c r="A45" s="19">
        <v>2023</v>
      </c>
      <c r="B45" s="55">
        <v>17.581555345675273</v>
      </c>
      <c r="C45" s="55">
        <v>17.471596550514423</v>
      </c>
      <c r="D45" s="55">
        <v>20.331228443860322</v>
      </c>
      <c r="E45" s="55">
        <v>15.134952939943505</v>
      </c>
      <c r="F45" s="455">
        <f t="shared" si="3"/>
        <v>0.17629833319998378</v>
      </c>
      <c r="H45" s="25"/>
      <c r="J45" s="26"/>
    </row>
    <row r="46" spans="1:10" x14ac:dyDescent="0.25">
      <c r="A46" s="19">
        <v>2024</v>
      </c>
      <c r="B46" s="55">
        <v>17.708856340227566</v>
      </c>
      <c r="C46" s="55">
        <v>17.657916592182218</v>
      </c>
      <c r="D46" s="55">
        <v>20.308653326534074</v>
      </c>
      <c r="E46" s="55">
        <v>15.220950719785041</v>
      </c>
      <c r="F46" s="455">
        <f t="shared" si="3"/>
        <v>0.17724094244682223</v>
      </c>
      <c r="H46" s="25"/>
      <c r="J46" s="26"/>
    </row>
    <row r="47" spans="1:10" x14ac:dyDescent="0.25">
      <c r="A47" s="19">
        <v>2025</v>
      </c>
      <c r="B47" s="55">
        <v>17.489203524993048</v>
      </c>
      <c r="C47" s="55">
        <v>18.353299619619722</v>
      </c>
      <c r="D47" s="55">
        <v>20.419640682333892</v>
      </c>
      <c r="E47" s="55">
        <v>15.398457079462379</v>
      </c>
      <c r="F47" s="455">
        <f t="shared" si="3"/>
        <v>0.17915150226602261</v>
      </c>
      <c r="H47" s="25"/>
      <c r="J47" s="26"/>
    </row>
    <row r="48" spans="1:10" x14ac:dyDescent="0.25">
      <c r="A48" s="19">
        <v>2026</v>
      </c>
      <c r="B48" s="55">
        <v>17.387301684518125</v>
      </c>
      <c r="C48" s="55">
        <v>18.067547843134552</v>
      </c>
      <c r="D48" s="55">
        <v>20.523705638437114</v>
      </c>
      <c r="E48" s="55">
        <v>15.556409087765925</v>
      </c>
      <c r="F48" s="455">
        <f t="shared" si="3"/>
        <v>0.17883741063463929</v>
      </c>
      <c r="H48" s="25"/>
      <c r="J48" s="26"/>
    </row>
    <row r="49" spans="1:10" x14ac:dyDescent="0.25">
      <c r="A49" s="19">
        <v>2027</v>
      </c>
      <c r="B49" s="55">
        <v>17.212207593569119</v>
      </c>
      <c r="C49" s="55">
        <v>18.317327242627371</v>
      </c>
      <c r="D49" s="55">
        <v>20.664857428865464</v>
      </c>
      <c r="E49" s="55">
        <v>15.551466323772283</v>
      </c>
      <c r="F49" s="455">
        <f t="shared" si="3"/>
        <v>0.17936464647208561</v>
      </c>
      <c r="H49" s="25"/>
      <c r="J49" s="26"/>
    </row>
    <row r="50" spans="1:10" x14ac:dyDescent="0.25">
      <c r="A50" s="19">
        <v>2028</v>
      </c>
      <c r="B50" s="55">
        <v>17.229883106091709</v>
      </c>
      <c r="C50" s="55">
        <v>18.584585807186823</v>
      </c>
      <c r="D50" s="55">
        <v>20.79384325902317</v>
      </c>
      <c r="E50" s="55">
        <v>15.565460113733611</v>
      </c>
      <c r="F50" s="455">
        <f t="shared" si="3"/>
        <v>0.1804344307150883</v>
      </c>
      <c r="H50" s="25"/>
      <c r="J50" s="26"/>
    </row>
    <row r="51" spans="1:10" x14ac:dyDescent="0.25">
      <c r="A51" s="19">
        <v>2029</v>
      </c>
      <c r="B51" s="55">
        <v>17.310665557379508</v>
      </c>
      <c r="C51" s="55">
        <v>19.018127745718079</v>
      </c>
      <c r="D51" s="55">
        <v>21.042330483230987</v>
      </c>
      <c r="E51" s="55">
        <v>15.670016937206581</v>
      </c>
      <c r="F51" s="455">
        <f t="shared" si="3"/>
        <v>0.18260285180883787</v>
      </c>
      <c r="H51" s="25"/>
      <c r="J51" s="26"/>
    </row>
    <row r="52" spans="1:10" x14ac:dyDescent="0.25">
      <c r="A52" s="19">
        <v>2030</v>
      </c>
      <c r="B52" s="55">
        <v>17.388130688298403</v>
      </c>
      <c r="C52" s="55">
        <v>19.503859810895776</v>
      </c>
      <c r="D52" s="55">
        <v>21.261017357220776</v>
      </c>
      <c r="E52" s="55">
        <v>15.726596551760119</v>
      </c>
      <c r="F52" s="455">
        <f t="shared" si="3"/>
        <v>0.1846990110204377</v>
      </c>
      <c r="H52" s="25"/>
      <c r="J52" s="26"/>
    </row>
    <row r="53" spans="1:10" x14ac:dyDescent="0.25">
      <c r="A53" s="19">
        <v>2031</v>
      </c>
      <c r="B53" s="174"/>
      <c r="C53" s="174"/>
      <c r="D53" s="174"/>
      <c r="E53" s="174"/>
      <c r="F53" s="455">
        <f>F$41+($A53-$A$41)*(F52-F$41)/($A52-$A$41)</f>
        <v>0.18548682498832578</v>
      </c>
      <c r="H53" s="25"/>
      <c r="J53" s="26"/>
    </row>
    <row r="54" spans="1:10" x14ac:dyDescent="0.25">
      <c r="A54" s="19">
        <v>2032</v>
      </c>
      <c r="B54" s="174"/>
      <c r="C54" s="174"/>
      <c r="D54" s="174"/>
      <c r="E54" s="174"/>
      <c r="F54" s="455">
        <f>F$41+($A54-$A$41)*(F53-F$41)/($A53-$A$41)</f>
        <v>0.18627463895621385</v>
      </c>
      <c r="H54" s="25"/>
      <c r="J54" s="26"/>
    </row>
    <row r="55" spans="1:10" ht="15" customHeight="1" x14ac:dyDescent="0.25">
      <c r="A55" s="819" t="s">
        <v>544</v>
      </c>
      <c r="B55" s="819"/>
      <c r="C55" s="819"/>
      <c r="D55" s="819"/>
      <c r="E55" s="819"/>
      <c r="F55" s="819"/>
      <c r="G55" s="27"/>
    </row>
    <row r="56" spans="1:10" x14ac:dyDescent="0.25">
      <c r="A56" s="819"/>
      <c r="B56" s="819"/>
      <c r="C56" s="819"/>
      <c r="D56" s="819"/>
      <c r="E56" s="819"/>
      <c r="F56" s="819"/>
      <c r="G56" s="27"/>
    </row>
    <row r="57" spans="1:10" x14ac:dyDescent="0.25">
      <c r="A57" s="819"/>
      <c r="B57" s="819"/>
      <c r="C57" s="819"/>
      <c r="D57" s="819"/>
      <c r="E57" s="819"/>
      <c r="F57" s="819"/>
      <c r="G57" s="27"/>
    </row>
    <row r="58" spans="1:10" x14ac:dyDescent="0.25">
      <c r="A58" s="819" t="s">
        <v>586</v>
      </c>
      <c r="B58" s="819"/>
      <c r="C58" s="819"/>
      <c r="D58" s="819"/>
      <c r="E58" s="819"/>
      <c r="F58" s="819"/>
      <c r="G58" s="27"/>
    </row>
    <row r="59" spans="1:10" x14ac:dyDescent="0.25">
      <c r="A59" s="28"/>
      <c r="B59" s="28"/>
      <c r="C59" s="28"/>
      <c r="D59" s="28"/>
      <c r="E59" s="28"/>
      <c r="F59" s="28"/>
    </row>
    <row r="60" spans="1:10" ht="15.75" x14ac:dyDescent="0.25">
      <c r="A60" s="22" t="s">
        <v>587</v>
      </c>
      <c r="B60" s="245"/>
      <c r="C60" s="245"/>
      <c r="D60" s="245"/>
      <c r="E60" s="245"/>
      <c r="F60" s="245"/>
    </row>
    <row r="61" spans="1:10" ht="17.25" x14ac:dyDescent="0.25">
      <c r="A61" s="354" t="s">
        <v>588</v>
      </c>
      <c r="B61" s="487">
        <v>1.1599999999999999</v>
      </c>
      <c r="C61" s="488" t="s">
        <v>589</v>
      </c>
      <c r="D61" s="245"/>
      <c r="E61" s="245"/>
      <c r="F61" s="245"/>
    </row>
    <row r="62" spans="1:10" ht="30" customHeight="1" x14ac:dyDescent="0.25">
      <c r="A62" s="828" t="s">
        <v>590</v>
      </c>
      <c r="B62" s="828"/>
      <c r="C62" s="828"/>
      <c r="D62" s="828"/>
      <c r="E62" s="828"/>
      <c r="F62" s="828"/>
      <c r="G62" s="74"/>
    </row>
    <row r="63" spans="1:10" x14ac:dyDescent="0.25">
      <c r="A63" s="245"/>
      <c r="B63" s="245"/>
      <c r="C63" s="245"/>
      <c r="D63" s="245"/>
      <c r="E63" s="245"/>
      <c r="F63" s="245"/>
    </row>
    <row r="64" spans="1:10" ht="15.75" x14ac:dyDescent="0.25">
      <c r="A64" s="22" t="s">
        <v>92</v>
      </c>
      <c r="B64" s="28"/>
      <c r="C64" s="28"/>
      <c r="D64" s="28"/>
      <c r="E64" s="28"/>
      <c r="F64" s="28"/>
    </row>
    <row r="65" spans="1:6" ht="15" customHeight="1" x14ac:dyDescent="0.25">
      <c r="A65" s="820" t="s">
        <v>80</v>
      </c>
      <c r="B65" s="821" t="s">
        <v>545</v>
      </c>
      <c r="C65" s="245"/>
      <c r="D65" s="245"/>
      <c r="E65" s="245"/>
      <c r="F65" s="245"/>
    </row>
    <row r="66" spans="1:6" ht="15" customHeight="1" x14ac:dyDescent="0.25">
      <c r="A66" s="820"/>
      <c r="B66" s="821"/>
      <c r="C66" s="245"/>
      <c r="D66" s="245"/>
      <c r="E66" s="245"/>
      <c r="F66" s="245"/>
    </row>
    <row r="67" spans="1:6" ht="15" customHeight="1" x14ac:dyDescent="0.25">
      <c r="A67" s="820"/>
      <c r="B67" s="821"/>
      <c r="C67" s="245"/>
      <c r="D67" s="245"/>
      <c r="E67" s="245"/>
      <c r="F67" s="245"/>
    </row>
    <row r="68" spans="1:6" ht="15" customHeight="1" x14ac:dyDescent="0.25">
      <c r="A68" s="820"/>
      <c r="B68" s="821"/>
      <c r="C68" s="245"/>
      <c r="D68" s="245"/>
      <c r="E68" s="245"/>
      <c r="F68" s="245"/>
    </row>
    <row r="69" spans="1:6" x14ac:dyDescent="0.25">
      <c r="A69" s="354">
        <v>2021</v>
      </c>
      <c r="B69" s="56">
        <v>0.10742668569259947</v>
      </c>
      <c r="C69" s="245"/>
      <c r="D69" s="245"/>
      <c r="E69" s="245"/>
      <c r="F69" s="245"/>
    </row>
    <row r="70" spans="1:6" x14ac:dyDescent="0.25">
      <c r="A70" s="354">
        <v>2022</v>
      </c>
      <c r="B70" s="56">
        <v>0.10633355805511226</v>
      </c>
      <c r="C70" s="245"/>
      <c r="D70" s="245"/>
      <c r="E70" s="245"/>
      <c r="F70" s="245"/>
    </row>
    <row r="71" spans="1:6" x14ac:dyDescent="0.25">
      <c r="A71" s="354">
        <v>2023</v>
      </c>
      <c r="B71" s="56">
        <v>0.10560685195285498</v>
      </c>
      <c r="C71" s="245"/>
      <c r="D71" s="245"/>
      <c r="E71" s="245"/>
      <c r="F71" s="245"/>
    </row>
    <row r="72" spans="1:6" x14ac:dyDescent="0.25">
      <c r="A72" s="354">
        <v>2024</v>
      </c>
      <c r="B72" s="56">
        <v>0.10489102848205996</v>
      </c>
      <c r="C72" s="245"/>
      <c r="D72" s="245"/>
      <c r="E72" s="245"/>
      <c r="F72" s="245"/>
    </row>
    <row r="73" spans="1:6" x14ac:dyDescent="0.25">
      <c r="A73" s="354">
        <v>2025</v>
      </c>
      <c r="B73" s="56">
        <v>9.9781422960452767E-2</v>
      </c>
      <c r="C73" s="245"/>
      <c r="D73" s="245"/>
      <c r="E73" s="245"/>
      <c r="F73" s="245"/>
    </row>
    <row r="74" spans="1:6" x14ac:dyDescent="0.25">
      <c r="A74" s="354">
        <v>2026</v>
      </c>
      <c r="B74" s="56">
        <v>0.10076410255793643</v>
      </c>
      <c r="C74" s="245"/>
      <c r="D74" s="245"/>
      <c r="E74" s="245"/>
      <c r="F74" s="245"/>
    </row>
    <row r="75" spans="1:6" x14ac:dyDescent="0.25">
      <c r="A75" s="354">
        <v>2027</v>
      </c>
      <c r="B75" s="56">
        <v>0.10200827198772901</v>
      </c>
      <c r="C75" s="245"/>
      <c r="D75" s="245"/>
      <c r="E75" s="245"/>
      <c r="F75" s="245"/>
    </row>
    <row r="76" spans="1:6" x14ac:dyDescent="0.25">
      <c r="A76" s="354">
        <v>2028</v>
      </c>
      <c r="B76" s="56">
        <v>0.10314853595703005</v>
      </c>
      <c r="C76" s="245"/>
      <c r="D76" s="245"/>
      <c r="E76" s="245"/>
      <c r="F76" s="245"/>
    </row>
    <row r="77" spans="1:6" x14ac:dyDescent="0.25">
      <c r="A77" s="354">
        <v>2029</v>
      </c>
      <c r="B77" s="56">
        <v>0.10442598177571655</v>
      </c>
      <c r="C77" s="245"/>
      <c r="D77" s="245"/>
      <c r="E77" s="245"/>
      <c r="F77" s="245"/>
    </row>
    <row r="78" spans="1:6" x14ac:dyDescent="0.25">
      <c r="A78" s="354">
        <v>2030</v>
      </c>
      <c r="B78" s="56">
        <v>0.10556652073578138</v>
      </c>
      <c r="C78" s="245"/>
      <c r="D78" s="245"/>
      <c r="E78" s="245"/>
      <c r="F78" s="245"/>
    </row>
    <row r="79" spans="1:6" x14ac:dyDescent="0.25">
      <c r="A79" s="354">
        <v>2031</v>
      </c>
      <c r="B79" s="56">
        <v>0.10753395574057938</v>
      </c>
      <c r="C79" s="245"/>
      <c r="D79" s="245"/>
      <c r="E79" s="245"/>
      <c r="F79" s="245"/>
    </row>
    <row r="80" spans="1:6" x14ac:dyDescent="0.25">
      <c r="A80" s="354">
        <v>2032</v>
      </c>
      <c r="B80" s="56">
        <v>0.1095013907453774</v>
      </c>
      <c r="C80" s="245"/>
      <c r="D80" s="245"/>
      <c r="E80" s="245"/>
      <c r="F80" s="245"/>
    </row>
    <row r="81" spans="1:6" ht="15.75" x14ac:dyDescent="0.25">
      <c r="A81" s="22"/>
      <c r="B81" s="245"/>
      <c r="C81" s="245"/>
      <c r="D81" s="245"/>
      <c r="E81" s="245"/>
      <c r="F81" s="245"/>
    </row>
    <row r="82" spans="1:6" ht="15" customHeight="1" x14ac:dyDescent="0.25">
      <c r="A82" s="826" t="s">
        <v>547</v>
      </c>
      <c r="B82" s="827"/>
      <c r="C82" s="57">
        <v>1</v>
      </c>
      <c r="D82" s="29" t="s">
        <v>93</v>
      </c>
      <c r="E82" s="28"/>
      <c r="F82" s="28"/>
    </row>
    <row r="83" spans="1:6" x14ac:dyDescent="0.25">
      <c r="A83" s="353" t="s">
        <v>546</v>
      </c>
      <c r="B83" s="245"/>
      <c r="C83" s="245"/>
      <c r="D83" s="245"/>
      <c r="E83" s="245"/>
      <c r="F83" s="245"/>
    </row>
    <row r="84" spans="1:6" x14ac:dyDescent="0.25">
      <c r="A84" s="353" t="s">
        <v>548</v>
      </c>
      <c r="B84" s="245"/>
      <c r="C84" s="245"/>
      <c r="D84" s="245"/>
      <c r="E84" s="245"/>
      <c r="F84" s="245"/>
    </row>
    <row r="85" spans="1:6" x14ac:dyDescent="0.25">
      <c r="A85" s="262"/>
      <c r="B85" s="263"/>
      <c r="C85" s="262"/>
      <c r="D85" s="228"/>
      <c r="E85" s="228"/>
      <c r="F85" s="228"/>
    </row>
    <row r="86" spans="1:6" ht="15.75" x14ac:dyDescent="0.25">
      <c r="A86" s="22" t="s">
        <v>273</v>
      </c>
      <c r="B86" s="263"/>
      <c r="C86" s="262"/>
      <c r="D86" s="228"/>
      <c r="E86" s="228"/>
      <c r="F86" s="228"/>
    </row>
    <row r="87" spans="1:6" x14ac:dyDescent="0.25">
      <c r="A87" s="825" t="s">
        <v>549</v>
      </c>
      <c r="B87" s="825"/>
      <c r="C87" s="825"/>
      <c r="D87" s="264">
        <v>217</v>
      </c>
      <c r="E87" s="29" t="s">
        <v>45</v>
      </c>
      <c r="F87" s="228"/>
    </row>
    <row r="88" spans="1:6" ht="30" customHeight="1" x14ac:dyDescent="0.25">
      <c r="A88" s="822" t="s">
        <v>550</v>
      </c>
      <c r="B88" s="822"/>
      <c r="C88" s="822"/>
      <c r="D88" s="822"/>
      <c r="E88" s="822"/>
      <c r="F88" s="245"/>
    </row>
    <row r="89" spans="1:6" x14ac:dyDescent="0.25">
      <c r="A89" s="28"/>
      <c r="B89" s="28"/>
      <c r="C89" s="28"/>
      <c r="D89" s="28"/>
      <c r="E89" s="28"/>
      <c r="F89" s="28"/>
    </row>
    <row r="90" spans="1:6" ht="15.75" x14ac:dyDescent="0.25">
      <c r="A90" s="22" t="s">
        <v>94</v>
      </c>
      <c r="B90" s="28"/>
      <c r="C90" s="28"/>
      <c r="D90" s="28"/>
      <c r="E90" s="28"/>
      <c r="F90" s="28"/>
    </row>
    <row r="91" spans="1:6" ht="17.25" x14ac:dyDescent="0.25">
      <c r="A91" s="823" t="s">
        <v>95</v>
      </c>
      <c r="B91" s="824"/>
      <c r="C91" s="56">
        <v>763.5</v>
      </c>
      <c r="D91" s="30" t="s">
        <v>551</v>
      </c>
      <c r="F91" s="28"/>
    </row>
    <row r="92" spans="1:6" x14ac:dyDescent="0.25">
      <c r="A92" s="28"/>
      <c r="B92" s="28"/>
      <c r="C92" s="28"/>
      <c r="D92" s="28"/>
      <c r="E92" s="28"/>
      <c r="F92" s="28"/>
    </row>
    <row r="93" spans="1:6" ht="15" customHeight="1" x14ac:dyDescent="0.25">
      <c r="A93" s="820" t="s">
        <v>80</v>
      </c>
      <c r="B93" s="821" t="s">
        <v>554</v>
      </c>
      <c r="C93" s="821" t="s">
        <v>96</v>
      </c>
      <c r="D93" s="821" t="s">
        <v>97</v>
      </c>
    </row>
    <row r="94" spans="1:6" ht="15" customHeight="1" x14ac:dyDescent="0.25">
      <c r="A94" s="820"/>
      <c r="B94" s="821"/>
      <c r="C94" s="821"/>
      <c r="D94" s="821"/>
    </row>
    <row r="95" spans="1:6" ht="15" customHeight="1" x14ac:dyDescent="0.25">
      <c r="A95" s="820"/>
      <c r="B95" s="821"/>
      <c r="C95" s="821"/>
      <c r="D95" s="821"/>
    </row>
    <row r="96" spans="1:6" ht="15" customHeight="1" x14ac:dyDescent="0.25">
      <c r="A96" s="820"/>
      <c r="B96" s="821"/>
      <c r="C96" s="821"/>
      <c r="D96" s="821"/>
    </row>
    <row r="97" spans="1:4" x14ac:dyDescent="0.25">
      <c r="A97" s="354">
        <v>2016</v>
      </c>
      <c r="B97" s="56">
        <v>2.33</v>
      </c>
      <c r="C97" s="456" t="s">
        <v>79</v>
      </c>
      <c r="D97" s="449"/>
    </row>
    <row r="98" spans="1:4" x14ac:dyDescent="0.25">
      <c r="A98" s="354">
        <v>2017</v>
      </c>
      <c r="B98" s="56">
        <v>2.65</v>
      </c>
      <c r="C98" s="454">
        <f>B98/B97</f>
        <v>1.1373390557939913</v>
      </c>
      <c r="D98" s="457">
        <f>C91*C98</f>
        <v>868.35836909871239</v>
      </c>
    </row>
    <row r="99" spans="1:4" x14ac:dyDescent="0.25">
      <c r="A99" s="354">
        <v>2018</v>
      </c>
      <c r="B99" s="56">
        <v>2.8</v>
      </c>
      <c r="C99" s="454">
        <f t="shared" ref="C99:C113" si="4">B99/B98</f>
        <v>1.0566037735849056</v>
      </c>
      <c r="D99" s="457">
        <f>D98*C99</f>
        <v>917.51072961373382</v>
      </c>
    </row>
    <row r="100" spans="1:4" x14ac:dyDescent="0.25">
      <c r="A100" s="354">
        <v>2019</v>
      </c>
      <c r="B100" s="56">
        <v>2.91</v>
      </c>
      <c r="C100" s="454">
        <f t="shared" si="4"/>
        <v>1.0392857142857144</v>
      </c>
      <c r="D100" s="457">
        <f>D99*C100</f>
        <v>953.55579399141629</v>
      </c>
    </row>
    <row r="101" spans="1:4" x14ac:dyDescent="0.25">
      <c r="A101" s="354">
        <v>2020</v>
      </c>
      <c r="B101" s="56">
        <v>3.39</v>
      </c>
      <c r="C101" s="454">
        <f t="shared" si="4"/>
        <v>1.1649484536082475</v>
      </c>
      <c r="D101" s="457">
        <f t="shared" ref="D101:D113" si="5">D100*C101</f>
        <v>1110.843347639485</v>
      </c>
    </row>
    <row r="102" spans="1:4" x14ac:dyDescent="0.25">
      <c r="A102" s="354">
        <v>2021</v>
      </c>
      <c r="B102" s="56">
        <v>3.64</v>
      </c>
      <c r="C102" s="454">
        <f t="shared" si="4"/>
        <v>1.0737463126843658</v>
      </c>
      <c r="D102" s="457">
        <f t="shared" si="5"/>
        <v>1192.7639484978542</v>
      </c>
    </row>
    <row r="103" spans="1:4" x14ac:dyDescent="0.25">
      <c r="A103" s="354">
        <v>2022</v>
      </c>
      <c r="B103" s="56">
        <v>3.79</v>
      </c>
      <c r="C103" s="454">
        <f t="shared" si="4"/>
        <v>1.0412087912087913</v>
      </c>
      <c r="D103" s="457">
        <f t="shared" si="5"/>
        <v>1241.9163090128759</v>
      </c>
    </row>
    <row r="104" spans="1:4" x14ac:dyDescent="0.25">
      <c r="A104" s="354">
        <v>2023</v>
      </c>
      <c r="B104" s="56">
        <v>3.95</v>
      </c>
      <c r="C104" s="454">
        <f t="shared" si="4"/>
        <v>1.0422163588390501</v>
      </c>
      <c r="D104" s="457">
        <f t="shared" si="5"/>
        <v>1294.3454935622321</v>
      </c>
    </row>
    <row r="105" spans="1:4" x14ac:dyDescent="0.25">
      <c r="A105" s="354">
        <v>2024</v>
      </c>
      <c r="B105" s="56">
        <v>4.1500000000000004</v>
      </c>
      <c r="C105" s="454">
        <f t="shared" si="4"/>
        <v>1.0506329113924051</v>
      </c>
      <c r="D105" s="457">
        <f t="shared" si="5"/>
        <v>1359.8819742489275</v>
      </c>
    </row>
    <row r="106" spans="1:4" x14ac:dyDescent="0.25">
      <c r="A106" s="354">
        <v>2025</v>
      </c>
      <c r="B106" s="56">
        <v>4.3</v>
      </c>
      <c r="C106" s="454">
        <f t="shared" si="4"/>
        <v>1.0361445783132528</v>
      </c>
      <c r="D106" s="457">
        <f t="shared" si="5"/>
        <v>1409.0343347639487</v>
      </c>
    </row>
    <row r="107" spans="1:4" x14ac:dyDescent="0.25">
      <c r="A107" s="354">
        <v>2026</v>
      </c>
      <c r="B107" s="56">
        <v>4.41</v>
      </c>
      <c r="C107" s="454">
        <f t="shared" si="4"/>
        <v>1.0255813953488373</v>
      </c>
      <c r="D107" s="457">
        <f t="shared" si="5"/>
        <v>1445.0793991416313</v>
      </c>
    </row>
    <row r="108" spans="1:4" x14ac:dyDescent="0.25">
      <c r="A108" s="354">
        <v>2027</v>
      </c>
      <c r="B108" s="56">
        <v>4.5599999999999996</v>
      </c>
      <c r="C108" s="454">
        <f t="shared" si="4"/>
        <v>1.0340136054421767</v>
      </c>
      <c r="D108" s="457">
        <f t="shared" si="5"/>
        <v>1494.2317596566525</v>
      </c>
    </row>
    <row r="109" spans="1:4" x14ac:dyDescent="0.25">
      <c r="A109" s="354">
        <v>2028</v>
      </c>
      <c r="B109" s="56">
        <v>4.72</v>
      </c>
      <c r="C109" s="454">
        <f t="shared" si="4"/>
        <v>1.0350877192982457</v>
      </c>
      <c r="D109" s="457">
        <f t="shared" si="5"/>
        <v>1546.6609442060089</v>
      </c>
    </row>
    <row r="110" spans="1:4" x14ac:dyDescent="0.25">
      <c r="A110" s="354">
        <v>2029</v>
      </c>
      <c r="B110" s="56">
        <v>4.8899999999999997</v>
      </c>
      <c r="C110" s="454">
        <f t="shared" si="4"/>
        <v>1.0360169491525424</v>
      </c>
      <c r="D110" s="457">
        <f t="shared" si="5"/>
        <v>1602.3669527897</v>
      </c>
    </row>
    <row r="111" spans="1:4" x14ac:dyDescent="0.25">
      <c r="A111" s="354">
        <v>2030</v>
      </c>
      <c r="B111" s="56">
        <v>5.03</v>
      </c>
      <c r="C111" s="454">
        <f t="shared" si="4"/>
        <v>1.028629856850716</v>
      </c>
      <c r="D111" s="457">
        <f t="shared" si="5"/>
        <v>1648.2424892703871</v>
      </c>
    </row>
    <row r="112" spans="1:4" x14ac:dyDescent="0.25">
      <c r="A112" s="354">
        <v>2031</v>
      </c>
      <c r="B112" s="56">
        <v>5.21</v>
      </c>
      <c r="C112" s="454">
        <f t="shared" si="4"/>
        <v>1.0357852882703777</v>
      </c>
      <c r="D112" s="457">
        <f t="shared" si="5"/>
        <v>1707.225321888413</v>
      </c>
    </row>
    <row r="113" spans="1:6" x14ac:dyDescent="0.25">
      <c r="A113" s="354">
        <v>2032</v>
      </c>
      <c r="B113" s="56">
        <v>5.35</v>
      </c>
      <c r="C113" s="454">
        <f t="shared" si="4"/>
        <v>1.0268714011516313</v>
      </c>
      <c r="D113" s="457">
        <f t="shared" si="5"/>
        <v>1753.1008583690993</v>
      </c>
    </row>
    <row r="114" spans="1:6" x14ac:dyDescent="0.25">
      <c r="A114" s="314" t="s">
        <v>552</v>
      </c>
    </row>
    <row r="115" spans="1:6" ht="14.25" customHeight="1" x14ac:dyDescent="0.25">
      <c r="A115" s="329" t="s">
        <v>553</v>
      </c>
      <c r="B115" s="33"/>
      <c r="C115" s="33"/>
      <c r="D115" s="33"/>
      <c r="E115" s="33"/>
      <c r="F115" s="33"/>
    </row>
    <row r="116" spans="1:6" x14ac:dyDescent="0.25">
      <c r="A116" s="33"/>
      <c r="B116" s="33"/>
      <c r="C116" s="33"/>
      <c r="D116" s="33"/>
      <c r="E116" s="33"/>
      <c r="F116" s="33"/>
    </row>
    <row r="117" spans="1:6" x14ac:dyDescent="0.25">
      <c r="A117" s="33"/>
      <c r="B117" s="33"/>
      <c r="C117" s="33"/>
      <c r="D117" s="33"/>
      <c r="E117" s="33"/>
      <c r="F117" s="33"/>
    </row>
    <row r="118" spans="1:6" x14ac:dyDescent="0.25">
      <c r="A118" s="34"/>
      <c r="B118" s="34"/>
      <c r="C118" s="34"/>
      <c r="D118" s="34"/>
      <c r="E118" s="34"/>
      <c r="F118" s="34"/>
    </row>
  </sheetData>
  <sheetProtection algorithmName="SHA-512" hashValue="9ev5ws8+/Hf6fAGvH+xKGAlTyNbmHmuJ8rCT+t6jxpB+5Kn+8NENQxXe8gmdaXO+zzef/KYuRQtDdRwPKbS5yQ==" saltValue="cFmIMwKWVgydnPyaIda42g==" spinCount="100000" sheet="1" objects="1" scenarios="1"/>
  <mergeCells count="24">
    <mergeCell ref="D1:F1"/>
    <mergeCell ref="D2:F2"/>
    <mergeCell ref="D3:F3"/>
    <mergeCell ref="D4:F4"/>
    <mergeCell ref="F38:F40"/>
    <mergeCell ref="A31:G32"/>
    <mergeCell ref="B18:D18"/>
    <mergeCell ref="E18:G18"/>
    <mergeCell ref="A18:A19"/>
    <mergeCell ref="A38:A39"/>
    <mergeCell ref="B38:E39"/>
    <mergeCell ref="A55:F57"/>
    <mergeCell ref="A93:A96"/>
    <mergeCell ref="B93:B96"/>
    <mergeCell ref="C93:C96"/>
    <mergeCell ref="D93:D96"/>
    <mergeCell ref="A88:E88"/>
    <mergeCell ref="A91:B91"/>
    <mergeCell ref="A87:C87"/>
    <mergeCell ref="A82:B82"/>
    <mergeCell ref="A65:A68"/>
    <mergeCell ref="B65:B68"/>
    <mergeCell ref="A58:F58"/>
    <mergeCell ref="A62:F62"/>
  </mergeCells>
  <pageMargins left="0.7" right="0.7" top="0.75" bottom="0.75" header="0.3" footer="0.3"/>
  <pageSetup paperSize="5" orientation="landscape" r:id="rId1"/>
  <rowBreaks count="4" manualBreakCount="4">
    <brk id="17" max="16383" man="1"/>
    <brk id="36" max="16383" man="1"/>
    <brk id="63" max="16383" man="1"/>
    <brk id="89"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FF00"/>
  </sheetPr>
  <dimension ref="A1:N39"/>
  <sheetViews>
    <sheetView zoomScaleNormal="100" zoomScaleSheetLayoutView="80" workbookViewId="0">
      <selection activeCell="E27" sqref="E27"/>
    </sheetView>
  </sheetViews>
  <sheetFormatPr defaultColWidth="9.140625" defaultRowHeight="15" x14ac:dyDescent="0.25"/>
  <cols>
    <col min="1" max="14" width="11.42578125" style="21" customWidth="1"/>
    <col min="15" max="16384" width="9.140625" style="21"/>
  </cols>
  <sheetData>
    <row r="1" spans="1:9" ht="18.75" x14ac:dyDescent="0.3">
      <c r="A1" s="2" t="s">
        <v>98</v>
      </c>
      <c r="C1" s="35"/>
      <c r="D1" s="754" t="s">
        <v>386</v>
      </c>
      <c r="E1" s="754"/>
      <c r="F1" s="754"/>
    </row>
    <row r="2" spans="1:9" ht="15" customHeight="1" x14ac:dyDescent="0.3">
      <c r="A2" s="2"/>
      <c r="C2" s="35"/>
      <c r="D2" s="788" t="s">
        <v>374</v>
      </c>
      <c r="E2" s="814"/>
      <c r="F2" s="789"/>
    </row>
    <row r="3" spans="1:9" ht="15" customHeight="1" x14ac:dyDescent="0.3">
      <c r="A3" s="2"/>
      <c r="C3" s="35"/>
      <c r="D3" s="815" t="s">
        <v>375</v>
      </c>
      <c r="E3" s="816"/>
      <c r="F3" s="817"/>
    </row>
    <row r="4" spans="1:9" ht="15" customHeight="1" x14ac:dyDescent="0.3">
      <c r="A4" s="2"/>
      <c r="C4" s="35"/>
      <c r="D4" s="35"/>
      <c r="E4" s="36"/>
      <c r="F4" s="35"/>
    </row>
    <row r="5" spans="1:9" x14ac:dyDescent="0.25">
      <c r="A5" s="38"/>
      <c r="B5" s="835" t="s">
        <v>99</v>
      </c>
      <c r="C5" s="820"/>
      <c r="D5" s="820"/>
      <c r="E5" s="836"/>
      <c r="F5" s="837" t="s">
        <v>100</v>
      </c>
      <c r="G5" s="820"/>
      <c r="H5" s="820"/>
      <c r="I5" s="820"/>
    </row>
    <row r="6" spans="1:9" ht="32.25" x14ac:dyDescent="0.25">
      <c r="A6" s="39" t="s">
        <v>80</v>
      </c>
      <c r="B6" s="40" t="s">
        <v>555</v>
      </c>
      <c r="C6" s="41" t="s">
        <v>14</v>
      </c>
      <c r="D6" s="242" t="s">
        <v>836</v>
      </c>
      <c r="E6" s="42" t="s">
        <v>101</v>
      </c>
      <c r="F6" s="43" t="s">
        <v>81</v>
      </c>
      <c r="G6" s="41" t="s">
        <v>14</v>
      </c>
      <c r="H6" s="242" t="s">
        <v>822</v>
      </c>
      <c r="I6" s="44" t="s">
        <v>101</v>
      </c>
    </row>
    <row r="7" spans="1:9" x14ac:dyDescent="0.25">
      <c r="A7" s="45">
        <v>2018</v>
      </c>
      <c r="B7" s="52">
        <v>3.8665099247932266E-2</v>
      </c>
      <c r="C7" s="53">
        <v>3.680699999999959E-2</v>
      </c>
      <c r="D7" s="53">
        <v>3.6721349367557554E-2</v>
      </c>
      <c r="E7" s="54">
        <v>4.8046931054337438E-3</v>
      </c>
      <c r="F7" s="46">
        <f>B7</f>
        <v>3.8665099247932266E-2</v>
      </c>
      <c r="G7" s="46">
        <f t="shared" ref="G7:I7" si="0">C7</f>
        <v>3.680699999999959E-2</v>
      </c>
      <c r="H7" s="46">
        <f t="shared" si="0"/>
        <v>3.6721349367557554E-2</v>
      </c>
      <c r="I7" s="46">
        <f t="shared" si="0"/>
        <v>4.8046931054337438E-3</v>
      </c>
    </row>
    <row r="8" spans="1:9" x14ac:dyDescent="0.25">
      <c r="A8" s="45">
        <v>2019</v>
      </c>
      <c r="B8" s="52">
        <v>3.945082772902242E-2</v>
      </c>
      <c r="C8" s="53">
        <v>3.68070000000007E-2</v>
      </c>
      <c r="D8" s="53">
        <v>3.6910429683187029E-2</v>
      </c>
      <c r="E8" s="54">
        <v>4.9511029323738853E-3</v>
      </c>
      <c r="F8" s="451">
        <f>F7+B8*(1+F7)</f>
        <v>7.9641297146510415E-2</v>
      </c>
      <c r="G8" s="451">
        <f t="shared" ref="G8:I21" si="1">G7+C8*(1+G7)</f>
        <v>7.4968755249000291E-2</v>
      </c>
      <c r="H8" s="451">
        <f t="shared" si="1"/>
        <v>7.4987179834447554E-2</v>
      </c>
      <c r="I8" s="451">
        <f t="shared" si="1"/>
        <v>9.7795845679310989E-3</v>
      </c>
    </row>
    <row r="9" spans="1:9" x14ac:dyDescent="0.25">
      <c r="A9" s="45">
        <v>2020</v>
      </c>
      <c r="B9" s="52">
        <v>6.7541926763360127E-2</v>
      </c>
      <c r="C9" s="53">
        <v>7.8742518624776103E-2</v>
      </c>
      <c r="D9" s="53">
        <v>3.7101408884453901E-2</v>
      </c>
      <c r="E9" s="54">
        <v>5.0984685547268427E-3</v>
      </c>
      <c r="F9" s="451">
        <f t="shared" ref="F9:F21" si="2">F8+B9*(1+F8)</f>
        <v>0.15256235056907913</v>
      </c>
      <c r="G9" s="451">
        <f t="shared" si="1"/>
        <v>0.15961450248024708</v>
      </c>
      <c r="H9" s="451">
        <f t="shared" si="1"/>
        <v>0.11487071873903137</v>
      </c>
      <c r="I9" s="451">
        <f t="shared" si="1"/>
        <v>1.492791402705583E-2</v>
      </c>
    </row>
    <row r="10" spans="1:9" x14ac:dyDescent="0.25">
      <c r="A10" s="45">
        <v>2021</v>
      </c>
      <c r="B10" s="52">
        <v>3.5823483948360435E-2</v>
      </c>
      <c r="C10" s="53">
        <v>3.6807000000000256E-2</v>
      </c>
      <c r="D10" s="53">
        <v>3.2431274943651278E-2</v>
      </c>
      <c r="E10" s="54">
        <v>1.1528452252178134E-2</v>
      </c>
      <c r="F10" s="451">
        <f t="shared" si="2"/>
        <v>0.19385114943417511</v>
      </c>
      <c r="G10" s="451">
        <f t="shared" si="1"/>
        <v>0.20229643347303783</v>
      </c>
      <c r="H10" s="451">
        <f t="shared" si="1"/>
        <v>0.15102739754508301</v>
      </c>
      <c r="I10" s="451">
        <f t="shared" si="1"/>
        <v>2.6628462023319498E-2</v>
      </c>
    </row>
    <row r="11" spans="1:9" x14ac:dyDescent="0.25">
      <c r="A11" s="45">
        <v>2022</v>
      </c>
      <c r="B11" s="52">
        <v>3.6866010880050037E-2</v>
      </c>
      <c r="C11" s="53">
        <v>3.680700000000181E-2</v>
      </c>
      <c r="D11" s="53">
        <v>2.8998265455361993E-2</v>
      </c>
      <c r="E11" s="320">
        <v>7.8062375615997048E-3</v>
      </c>
      <c r="F11" s="451">
        <f t="shared" si="2"/>
        <v>0.23786367889837565</v>
      </c>
      <c r="G11" s="451">
        <f t="shared" si="1"/>
        <v>0.24654935829988212</v>
      </c>
      <c r="H11" s="451">
        <f t="shared" si="1"/>
        <v>0.18440519556548982</v>
      </c>
      <c r="I11" s="451">
        <f t="shared" si="1"/>
        <v>3.4642567685373271E-2</v>
      </c>
    </row>
    <row r="12" spans="1:9" x14ac:dyDescent="0.25">
      <c r="A12" s="45">
        <v>2023</v>
      </c>
      <c r="B12" s="52">
        <v>3.7799439147330638E-2</v>
      </c>
      <c r="C12" s="53">
        <v>3.6807000000002477E-2</v>
      </c>
      <c r="D12" s="53">
        <v>2.9103730853841991E-2</v>
      </c>
      <c r="E12" s="320">
        <v>7.8549475747948794E-3</v>
      </c>
      <c r="F12" s="451">
        <f t="shared" si="2"/>
        <v>0.28465423170158566</v>
      </c>
      <c r="G12" s="451">
        <f t="shared" si="1"/>
        <v>0.29243110053082899</v>
      </c>
      <c r="H12" s="451">
        <f t="shared" si="1"/>
        <v>0.21887580559911993</v>
      </c>
      <c r="I12" s="451">
        <f t="shared" si="1"/>
        <v>4.2769630813193044E-2</v>
      </c>
    </row>
    <row r="13" spans="1:9" x14ac:dyDescent="0.25">
      <c r="A13" s="45">
        <v>2024</v>
      </c>
      <c r="B13" s="52">
        <v>3.8638732505061446E-2</v>
      </c>
      <c r="C13" s="53">
        <v>3.6806999999996703E-2</v>
      </c>
      <c r="D13" s="53">
        <v>2.9210220510180296E-2</v>
      </c>
      <c r="E13" s="320">
        <v>7.9055431611416704E-3</v>
      </c>
      <c r="F13" s="451">
        <f t="shared" si="2"/>
        <v>0.33429164292179847</v>
      </c>
      <c r="G13" s="451">
        <f t="shared" si="1"/>
        <v>0.34000161204806295</v>
      </c>
      <c r="H13" s="451">
        <f t="shared" si="1"/>
        <v>0.2544794366551939</v>
      </c>
      <c r="I13" s="451">
        <f t="shared" si="1"/>
        <v>5.1013291136714503E-2</v>
      </c>
    </row>
    <row r="14" spans="1:9" x14ac:dyDescent="0.25">
      <c r="A14" s="45">
        <v>2025</v>
      </c>
      <c r="B14" s="52">
        <v>5.6781621008111793E-2</v>
      </c>
      <c r="C14" s="53">
        <v>3.680700000000181E-2</v>
      </c>
      <c r="D14" s="53">
        <v>2.9317723564273868E-2</v>
      </c>
      <c r="E14" s="320">
        <v>7.9580932257303783E-3</v>
      </c>
      <c r="F14" s="451">
        <f t="shared" si="2"/>
        <v>0.41005488530447487</v>
      </c>
      <c r="G14" s="451">
        <f t="shared" si="1"/>
        <v>0.38932305138271844</v>
      </c>
      <c r="H14" s="451">
        <f t="shared" si="1"/>
        <v>0.29125791799611689</v>
      </c>
      <c r="I14" s="451">
        <f t="shared" si="1"/>
        <v>5.9377352889062179E-2</v>
      </c>
    </row>
    <row r="15" spans="1:9" x14ac:dyDescent="0.25">
      <c r="A15" s="45">
        <v>2026</v>
      </c>
      <c r="B15" s="52">
        <v>2.4419519346086105E-2</v>
      </c>
      <c r="C15" s="53">
        <v>3.6807000000002921E-2</v>
      </c>
      <c r="D15" s="53">
        <v>2.9341114226862475E-2</v>
      </c>
      <c r="E15" s="320">
        <v>1.0959638145370487E-2</v>
      </c>
      <c r="F15" s="451">
        <f t="shared" si="2"/>
        <v>0.44448774785521072</v>
      </c>
      <c r="G15" s="451">
        <f t="shared" si="1"/>
        <v>0.44045986493496619</v>
      </c>
      <c r="H15" s="451">
        <f t="shared" si="1"/>
        <v>0.32914486406438159</v>
      </c>
      <c r="I15" s="451">
        <f t="shared" si="1"/>
        <v>7.0987745336126756E-2</v>
      </c>
    </row>
    <row r="16" spans="1:9" x14ac:dyDescent="0.25">
      <c r="A16" s="45">
        <v>2027</v>
      </c>
      <c r="B16" s="52">
        <v>2.6087062829845076E-2</v>
      </c>
      <c r="C16" s="53">
        <v>3.6806999999996259E-2</v>
      </c>
      <c r="D16" s="53">
        <v>2.2735427167451583E-2</v>
      </c>
      <c r="E16" s="320">
        <v>1.0580585782265617E-2</v>
      </c>
      <c r="F16" s="451">
        <f t="shared" si="2"/>
        <v>0.48217019049045101</v>
      </c>
      <c r="G16" s="451">
        <f t="shared" si="1"/>
        <v>0.4934788711836221</v>
      </c>
      <c r="H16" s="451">
        <f t="shared" si="1"/>
        <v>0.35936354031630968</v>
      </c>
      <c r="I16" s="451">
        <f t="shared" si="1"/>
        <v>8.2319423047410883E-2</v>
      </c>
    </row>
    <row r="17" spans="1:9" x14ac:dyDescent="0.25">
      <c r="A17" s="45">
        <v>2028</v>
      </c>
      <c r="B17" s="52">
        <v>2.7564108670243392E-2</v>
      </c>
      <c r="C17" s="53">
        <v>3.6807000000004919E-2</v>
      </c>
      <c r="D17" s="53">
        <v>2.2737833429721022E-2</v>
      </c>
      <c r="E17" s="320">
        <v>1.0623968359858127E-2</v>
      </c>
      <c r="F17" s="451">
        <f t="shared" si="2"/>
        <v>0.5230248906889251</v>
      </c>
      <c r="G17" s="451">
        <f t="shared" si="1"/>
        <v>0.548449347995285</v>
      </c>
      <c r="H17" s="451">
        <f t="shared" si="1"/>
        <v>0.39027252206645779</v>
      </c>
      <c r="I17" s="451">
        <f t="shared" si="1"/>
        <v>9.3817950353126484E-2</v>
      </c>
    </row>
    <row r="18" spans="1:9" x14ac:dyDescent="0.25">
      <c r="A18" s="45">
        <v>2029</v>
      </c>
      <c r="B18" s="52">
        <v>2.8879087113472313E-2</v>
      </c>
      <c r="C18" s="53">
        <v>3.6806999999997592E-2</v>
      </c>
      <c r="D18" s="53">
        <v>2.2740238633076615E-2</v>
      </c>
      <c r="E18" s="320">
        <v>1.0668054894061862E-2</v>
      </c>
      <c r="F18" s="451">
        <f t="shared" si="2"/>
        <v>0.56700845918311726</v>
      </c>
      <c r="G18" s="451">
        <f t="shared" si="1"/>
        <v>0.60544312314694371</v>
      </c>
      <c r="H18" s="451">
        <f t="shared" si="1"/>
        <v>0.42188765098325831</v>
      </c>
      <c r="I18" s="451">
        <f t="shared" si="1"/>
        <v>0.10548686029160387</v>
      </c>
    </row>
    <row r="19" spans="1:9" x14ac:dyDescent="0.25">
      <c r="A19" s="45">
        <v>2030</v>
      </c>
      <c r="B19" s="52">
        <v>3.0055258006755903E-2</v>
      </c>
      <c r="C19" s="53">
        <v>3.680699999999959E-2</v>
      </c>
      <c r="D19" s="53">
        <v>2.2742642774647326E-2</v>
      </c>
      <c r="E19" s="320">
        <v>1.0712860694722659E-2</v>
      </c>
      <c r="F19" s="451">
        <f t="shared" si="2"/>
        <v>0.61410530272263486</v>
      </c>
      <c r="G19" s="451">
        <f t="shared" si="1"/>
        <v>0.66453466818061258</v>
      </c>
      <c r="H19" s="451">
        <f t="shared" si="1"/>
        <v>0.45422513389525299</v>
      </c>
      <c r="I19" s="451">
        <f t="shared" si="1"/>
        <v>0.11732978702575415</v>
      </c>
    </row>
    <row r="20" spans="1:9" x14ac:dyDescent="0.25">
      <c r="A20" s="45">
        <v>2031</v>
      </c>
      <c r="B20" s="52">
        <v>4.778839088513398E-2</v>
      </c>
      <c r="C20" s="53">
        <v>3.680699999999959E-2</v>
      </c>
      <c r="D20" s="53">
        <v>2.3638874239532148E-2</v>
      </c>
      <c r="E20" s="320">
        <v>1.1674158854140915E-2</v>
      </c>
      <c r="F20" s="451">
        <f t="shared" si="2"/>
        <v>0.69124079785891168</v>
      </c>
      <c r="G20" s="451">
        <f t="shared" si="1"/>
        <v>0.7258011957123357</v>
      </c>
      <c r="H20" s="451">
        <f t="shared" si="1"/>
        <v>0.48860137895136968</v>
      </c>
      <c r="I20" s="451">
        <f t="shared" si="1"/>
        <v>0.13037367245195625</v>
      </c>
    </row>
    <row r="21" spans="1:9" x14ac:dyDescent="0.25">
      <c r="A21" s="45">
        <v>2032</v>
      </c>
      <c r="B21" s="52">
        <v>4.7796702132069324E-2</v>
      </c>
      <c r="C21" s="53">
        <v>3.6807000000002477E-2</v>
      </c>
      <c r="D21" s="53">
        <v>2.297227301974436E-2</v>
      </c>
      <c r="E21" s="320">
        <v>1.1380053822583225E-2</v>
      </c>
      <c r="F21" s="451">
        <f t="shared" si="2"/>
        <v>0.77207653050777736</v>
      </c>
      <c r="G21" s="451">
        <f t="shared" si="1"/>
        <v>0.78932276032292392</v>
      </c>
      <c r="H21" s="451">
        <f t="shared" si="1"/>
        <v>0.52279793624620852</v>
      </c>
      <c r="I21" s="451">
        <f t="shared" si="1"/>
        <v>0.14323738568409056</v>
      </c>
    </row>
    <row r="22" spans="1:9" x14ac:dyDescent="0.25">
      <c r="A22" s="127" t="s">
        <v>556</v>
      </c>
      <c r="B22" s="47"/>
      <c r="C22" s="47"/>
      <c r="D22" s="47"/>
      <c r="E22" s="48"/>
    </row>
    <row r="23" spans="1:9" x14ac:dyDescent="0.25">
      <c r="A23" s="314" t="s">
        <v>557</v>
      </c>
      <c r="E23" s="37"/>
    </row>
    <row r="24" spans="1:9" x14ac:dyDescent="0.25">
      <c r="A24" s="74"/>
    </row>
    <row r="25" spans="1:9" ht="75" x14ac:dyDescent="0.25">
      <c r="A25" s="820" t="s">
        <v>363</v>
      </c>
      <c r="B25" s="820"/>
      <c r="C25" s="312" t="s">
        <v>927</v>
      </c>
      <c r="D25" s="312" t="s">
        <v>364</v>
      </c>
      <c r="E25" s="312" t="s">
        <v>365</v>
      </c>
      <c r="F25" s="312" t="s">
        <v>364</v>
      </c>
    </row>
    <row r="26" spans="1:9" s="1" customFormat="1" x14ac:dyDescent="0.25">
      <c r="A26" s="834" t="s">
        <v>81</v>
      </c>
      <c r="B26" s="834"/>
      <c r="C26" s="398">
        <f>'Vessel Visits'!B14</f>
        <v>3742</v>
      </c>
      <c r="D26" s="452">
        <f>C26/C$31</f>
        <v>0.56645473811686342</v>
      </c>
      <c r="E26" s="398">
        <f>C26</f>
        <v>3742</v>
      </c>
      <c r="F26" s="452">
        <f>E26/E$31</f>
        <v>0.66952943281445698</v>
      </c>
    </row>
    <row r="27" spans="1:9" s="1" customFormat="1" x14ac:dyDescent="0.25">
      <c r="A27" s="834" t="s">
        <v>14</v>
      </c>
      <c r="B27" s="834"/>
      <c r="C27" s="398">
        <f>'Vessel Visits'!B64</f>
        <v>527</v>
      </c>
      <c r="D27" s="452">
        <f t="shared" ref="D27:F30" si="3">C27/C$31</f>
        <v>7.9775961247350896E-2</v>
      </c>
      <c r="E27" s="398">
        <f t="shared" ref="E27:E30" si="4">C27</f>
        <v>527</v>
      </c>
      <c r="F27" s="452">
        <f t="shared" si="3"/>
        <v>9.4292359992843078E-2</v>
      </c>
    </row>
    <row r="28" spans="1:9" s="1" customFormat="1" x14ac:dyDescent="0.25">
      <c r="A28" s="833" t="s">
        <v>822</v>
      </c>
      <c r="B28" s="834"/>
      <c r="C28" s="398">
        <f>'Vessel Visits'!B107</f>
        <v>1017</v>
      </c>
      <c r="D28" s="452">
        <f t="shared" si="3"/>
        <v>0.15395095367847411</v>
      </c>
      <c r="E28" s="203">
        <v>0</v>
      </c>
      <c r="F28" s="452">
        <f t="shared" si="3"/>
        <v>0</v>
      </c>
    </row>
    <row r="29" spans="1:9" s="1" customFormat="1" x14ac:dyDescent="0.25">
      <c r="A29" s="834" t="s">
        <v>520</v>
      </c>
      <c r="B29" s="834"/>
      <c r="C29" s="398">
        <f>'Vessel Visits'!B148</f>
        <v>546</v>
      </c>
      <c r="D29" s="452">
        <f t="shared" si="3"/>
        <v>8.2652134423251589E-2</v>
      </c>
      <c r="E29" s="398">
        <f t="shared" si="4"/>
        <v>546</v>
      </c>
      <c r="F29" s="452">
        <f t="shared" si="3"/>
        <v>9.7691894793344072E-2</v>
      </c>
    </row>
    <row r="30" spans="1:9" s="1" customFormat="1" x14ac:dyDescent="0.25">
      <c r="A30" s="823" t="s">
        <v>521</v>
      </c>
      <c r="B30" s="824"/>
      <c r="C30" s="398">
        <f>'Vessel Visits'!B184</f>
        <v>774</v>
      </c>
      <c r="D30" s="452">
        <f t="shared" si="3"/>
        <v>0.11716621253405994</v>
      </c>
      <c r="E30" s="398">
        <f t="shared" si="4"/>
        <v>774</v>
      </c>
      <c r="F30" s="452">
        <f t="shared" si="3"/>
        <v>0.13848631239935588</v>
      </c>
    </row>
    <row r="31" spans="1:9" s="1" customFormat="1" x14ac:dyDescent="0.25">
      <c r="A31" s="72"/>
      <c r="B31" s="72"/>
      <c r="C31" s="398">
        <f>SUM(C26:C30)</f>
        <v>6606</v>
      </c>
      <c r="D31" s="452">
        <f>SUM(D26:D30)</f>
        <v>0.99999999999999989</v>
      </c>
      <c r="E31" s="398">
        <f>SUM(E26:E30)</f>
        <v>5589</v>
      </c>
      <c r="F31" s="452">
        <f>SUM(F26:F30)</f>
        <v>1</v>
      </c>
    </row>
    <row r="33" spans="1:14" x14ac:dyDescent="0.25">
      <c r="A33" s="38" t="s">
        <v>928</v>
      </c>
    </row>
    <row r="34" spans="1:14" x14ac:dyDescent="0.25">
      <c r="A34" s="19">
        <v>2019</v>
      </c>
      <c r="B34" s="19">
        <v>2020</v>
      </c>
      <c r="C34" s="19">
        <v>2021</v>
      </c>
      <c r="D34" s="19">
        <v>2022</v>
      </c>
      <c r="E34" s="19">
        <v>2023</v>
      </c>
      <c r="F34" s="19">
        <v>2024</v>
      </c>
      <c r="G34" s="19">
        <v>2025</v>
      </c>
      <c r="H34" s="19">
        <v>2026</v>
      </c>
      <c r="I34" s="19">
        <v>2027</v>
      </c>
      <c r="J34" s="19">
        <v>2028</v>
      </c>
      <c r="K34" s="19">
        <v>2029</v>
      </c>
      <c r="L34" s="19">
        <v>2030</v>
      </c>
      <c r="M34" s="19">
        <v>2031</v>
      </c>
      <c r="N34" s="19">
        <v>2032</v>
      </c>
    </row>
    <row r="35" spans="1:14" x14ac:dyDescent="0.25">
      <c r="A35" s="453">
        <f>$F8*$D26+$G8*$D27+$H8*$D28+$I8*$D29+$I8*$D30</f>
        <v>6.4592382903385898E-2</v>
      </c>
      <c r="B35" s="453">
        <f>$F9*$D26+$G9*$D27+$H9*$D28+$I9*$D29+$I9*$D30</f>
        <v>0.11982039450649302</v>
      </c>
      <c r="C35" s="453">
        <f>$F10*$D26+$G10*$D27+$H10*$D28+$I10*$D29+$I10*$D30</f>
        <v>0.15451796167076978</v>
      </c>
      <c r="D35" s="453">
        <f>$F11*$D26+$G11*$D27+$H11*$D28+$I11*$D29+$I11*$D30</f>
        <v>0.18971929632100445</v>
      </c>
      <c r="E35" s="453">
        <f>$F12*$D26+$G12*$D27+$H12*$D28+$I12*$D29+$I12*$D30</f>
        <v>0.22681500635404181</v>
      </c>
      <c r="F35" s="453">
        <f>$F13*$D26+$G13*$D27+$H13*$D28+$I13*$D29+$I13*$D30</f>
        <v>0.26585578394512477</v>
      </c>
      <c r="G35" s="453">
        <f>$F14*$D26+$G14*$D27+$H14*$D28+$I14*$D29+$I14*$D30</f>
        <v>0.32004027207139729</v>
      </c>
      <c r="H35" s="453">
        <f>$F15*$D26+$G15*$D27+$H15*$D28+$I15*$D29+$I15*$D30</f>
        <v>0.35177711957191787</v>
      </c>
      <c r="I35" s="453">
        <f>$F16*$D26+$G16*$D27+$H16*$D28+$I16*$D29+$I16*$D30</f>
        <v>0.38426863107073961</v>
      </c>
      <c r="J35" s="453">
        <f>$F17*$D26+$G17*$D27+$H17*$D28+$I17*$D29+$I17*$D30</f>
        <v>0.41885237613672233</v>
      </c>
      <c r="K35" s="453">
        <f>$F18*$D26+$G18*$D27+$H18*$D28+$I18*$D29+$I18*$D30</f>
        <v>0.45551265164949356</v>
      </c>
      <c r="L35" s="453">
        <f>$F19*$D26+$G19*$D27+$H19*$D28+$I19*$D29+$I19*$D30</f>
        <v>0.49424978700647137</v>
      </c>
      <c r="M35" s="453">
        <f>$F20*$D26+$G20*$D27+$H20*$D28+$I20*$D29+$I20*$D30</f>
        <v>0.55072981316357461</v>
      </c>
      <c r="N35" s="453">
        <f>$F21*$D26+$G21*$D27+$H21*$D28+$I21*$D29+$I21*$D30</f>
        <v>0.60942208933025688</v>
      </c>
    </row>
    <row r="37" spans="1:14" x14ac:dyDescent="0.25">
      <c r="A37" s="38" t="s">
        <v>102</v>
      </c>
    </row>
    <row r="38" spans="1:14" x14ac:dyDescent="0.25">
      <c r="A38" s="19">
        <v>2019</v>
      </c>
      <c r="B38" s="19">
        <v>2020</v>
      </c>
      <c r="C38" s="19">
        <v>2021</v>
      </c>
      <c r="D38" s="19">
        <v>2022</v>
      </c>
      <c r="E38" s="19">
        <v>2023</v>
      </c>
      <c r="F38" s="19">
        <v>2024</v>
      </c>
      <c r="G38" s="19">
        <v>2025</v>
      </c>
      <c r="H38" s="19">
        <v>2026</v>
      </c>
      <c r="I38" s="19">
        <v>2027</v>
      </c>
      <c r="J38" s="19">
        <v>2028</v>
      </c>
      <c r="K38" s="19">
        <v>2029</v>
      </c>
      <c r="L38" s="19">
        <v>2030</v>
      </c>
      <c r="M38" s="19">
        <v>2031</v>
      </c>
      <c r="N38" s="19">
        <v>2032</v>
      </c>
    </row>
    <row r="39" spans="1:14" x14ac:dyDescent="0.25">
      <c r="A39" s="453">
        <f>$F8*$F26+$G8*$F27+$H8*$F28+$I8*$F29+$I8*$F30</f>
        <v>6.2700898115608181E-2</v>
      </c>
      <c r="B39" s="453">
        <f>$F9*$F26+$G9*$F27+$H9*$F28+$I9*$F29+$I9*$F30</f>
        <v>0.1207210601453387</v>
      </c>
      <c r="C39" s="453">
        <f>$F10*$F26+$G10*$F27+$H10*$F28+$I10*$F29+$I10*$F30</f>
        <v>0.15515312068236822</v>
      </c>
      <c r="D39" s="453">
        <f>$F11*$F26+$G11*$F27+$H11*$F28+$I11*$F29+$I11*$F30</f>
        <v>0.19068627439728972</v>
      </c>
      <c r="E39" s="453">
        <f>$F12*$F26+$G12*$F27+$H12*$F28+$I12*$F29+$I12*$F30</f>
        <v>0.22825965963150746</v>
      </c>
      <c r="F39" s="453">
        <f>$F13*$F26+$G13*$F27+$H13*$F28+$I13*$F29+$I13*$FD30</f>
        <v>0.2608612335522178</v>
      </c>
      <c r="G39" s="453">
        <f>$F14*$F26+$G14*$F27+$H14*$F28+$I14*$F29+$I14*$F30</f>
        <v>0.32527764084838073</v>
      </c>
      <c r="H39" s="453">
        <f>$F15*$F26+$G15*$F27+$H15*$F28+$I15*$F29+$I15*$F30</f>
        <v>0.35589538828745987</v>
      </c>
      <c r="I39" s="453">
        <f>$F16*$F26+$G16*$F27+$H16*$F28+$I16*$F29+$I16*$F30</f>
        <v>0.38880047528209316</v>
      </c>
      <c r="J39" s="453">
        <f>$F17*$F26+$G17*$F27+$H17*$F28+$I17*$F29+$I17*$F30</f>
        <v>0.42405289708670596</v>
      </c>
      <c r="K39" s="453">
        <f>$F18*$F26+$G18*$F27+$H18*$F28+$I18*$F29+$I18*$F30</f>
        <v>0.46163121054689232</v>
      </c>
      <c r="L39" s="453">
        <f>$F19*$F26+$G19*$F27+$H19*$F28+$I19*$F29+$I19*$F30</f>
        <v>0.50153285593009089</v>
      </c>
      <c r="M39" s="453">
        <f>$F20*$F26+$G20*$F27+$H20*$F28+$I20*$F29+$I20*$F30</f>
        <v>0.5620349871828646</v>
      </c>
      <c r="N39" s="453">
        <f>$F21*$F26+$G21*$F27+$H21*$F28+$I21*$F29+$I21*$F30</f>
        <v>0.62518461638097744</v>
      </c>
    </row>
  </sheetData>
  <sheetProtection algorithmName="SHA-512" hashValue="trjd1NH1pT/PCUQqRpBq2qM+OdNmjRG8iP/9ylJZ+/3Ru+1O9WfDOEUCLPJC9Hot9rSsGpBdG0q1xY5zI42uiw==" saltValue="pg0ocMn1K3OgABJdTYoisw==" spinCount="100000" sheet="1" objects="1" scenarios="1"/>
  <mergeCells count="11">
    <mergeCell ref="A28:B28"/>
    <mergeCell ref="A29:B29"/>
    <mergeCell ref="A30:B30"/>
    <mergeCell ref="D1:F1"/>
    <mergeCell ref="D2:F2"/>
    <mergeCell ref="D3:F3"/>
    <mergeCell ref="B5:E5"/>
    <mergeCell ref="F5:I5"/>
    <mergeCell ref="A25:B25"/>
    <mergeCell ref="A26:B26"/>
    <mergeCell ref="A27:B27"/>
  </mergeCells>
  <pageMargins left="0.7" right="0.7" top="0.75" bottom="0.75" header="0.3" footer="0.3"/>
  <pageSetup paperSize="5" orientation="landscape" r:id="rId1"/>
  <rowBreaks count="1" manualBreakCount="1">
    <brk id="24"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FFFF00"/>
  </sheetPr>
  <dimension ref="A1:K53"/>
  <sheetViews>
    <sheetView zoomScaleNormal="100" zoomScaleSheetLayoutView="80" workbookViewId="0">
      <selection activeCell="H13" sqref="H13"/>
    </sheetView>
  </sheetViews>
  <sheetFormatPr defaultColWidth="9.140625" defaultRowHeight="15" x14ac:dyDescent="0.25"/>
  <cols>
    <col min="1" max="1" width="33.7109375" style="1" customWidth="1"/>
    <col min="2" max="3" width="11.7109375" style="1" customWidth="1"/>
    <col min="4" max="4" width="12.140625" style="1" customWidth="1"/>
    <col min="5" max="9" width="11.7109375" style="1" customWidth="1"/>
    <col min="10" max="10" width="12" style="1" customWidth="1"/>
    <col min="11" max="15" width="11.7109375" style="1" customWidth="1"/>
    <col min="16" max="16" width="12" style="1" customWidth="1"/>
    <col min="17" max="17" width="11.7109375" style="1" customWidth="1"/>
    <col min="18" max="26" width="12.7109375" style="1" customWidth="1"/>
    <col min="27" max="16384" width="9.140625" style="1"/>
  </cols>
  <sheetData>
    <row r="1" spans="1:11" ht="18.75" x14ac:dyDescent="0.3">
      <c r="A1" s="2" t="s">
        <v>107</v>
      </c>
      <c r="B1" s="845" t="s">
        <v>386</v>
      </c>
      <c r="C1" s="846"/>
      <c r="D1" s="846"/>
      <c r="E1" s="847"/>
    </row>
    <row r="2" spans="1:11" x14ac:dyDescent="0.25">
      <c r="B2" s="788" t="s">
        <v>374</v>
      </c>
      <c r="C2" s="814"/>
      <c r="D2" s="814"/>
      <c r="E2" s="789"/>
    </row>
    <row r="3" spans="1:11" x14ac:dyDescent="0.25">
      <c r="B3" s="815" t="s">
        <v>375</v>
      </c>
      <c r="C3" s="816"/>
      <c r="D3" s="816"/>
      <c r="E3" s="817"/>
    </row>
    <row r="5" spans="1:11" x14ac:dyDescent="0.25">
      <c r="A5" s="3" t="s">
        <v>925</v>
      </c>
    </row>
    <row r="6" spans="1:11" ht="45" customHeight="1" x14ac:dyDescent="0.25">
      <c r="A6" s="838" t="s">
        <v>445</v>
      </c>
      <c r="B6" s="838" t="s">
        <v>560</v>
      </c>
      <c r="C6" s="838"/>
      <c r="D6" s="838" t="s">
        <v>814</v>
      </c>
      <c r="E6" s="838"/>
      <c r="F6" s="838" t="s">
        <v>813</v>
      </c>
      <c r="G6" s="838"/>
      <c r="H6" s="838" t="s">
        <v>787</v>
      </c>
      <c r="I6" s="838"/>
      <c r="J6" s="838" t="s">
        <v>790</v>
      </c>
      <c r="K6" s="838"/>
    </row>
    <row r="7" spans="1:11" ht="60" x14ac:dyDescent="0.25">
      <c r="A7" s="838"/>
      <c r="B7" s="5" t="s">
        <v>10</v>
      </c>
      <c r="C7" s="5" t="s">
        <v>11</v>
      </c>
      <c r="D7" s="5" t="s">
        <v>10</v>
      </c>
      <c r="E7" s="5" t="s">
        <v>11</v>
      </c>
      <c r="F7" s="5" t="s">
        <v>10</v>
      </c>
      <c r="G7" s="5" t="s">
        <v>11</v>
      </c>
      <c r="H7" s="612" t="s">
        <v>10</v>
      </c>
      <c r="I7" s="612" t="s">
        <v>11</v>
      </c>
      <c r="J7" s="613" t="s">
        <v>10</v>
      </c>
      <c r="K7" s="613" t="s">
        <v>11</v>
      </c>
    </row>
    <row r="8" spans="1:11" x14ac:dyDescent="0.25">
      <c r="A8" s="7" t="s">
        <v>0</v>
      </c>
      <c r="B8" s="61">
        <v>1</v>
      </c>
      <c r="C8" s="61">
        <v>0</v>
      </c>
      <c r="D8" s="61">
        <v>1</v>
      </c>
      <c r="E8" s="61">
        <v>0</v>
      </c>
      <c r="F8" s="61">
        <v>1</v>
      </c>
      <c r="G8" s="61">
        <v>0</v>
      </c>
      <c r="H8" s="61">
        <v>0</v>
      </c>
      <c r="I8" s="61">
        <v>1</v>
      </c>
      <c r="J8" s="59"/>
      <c r="K8" s="59"/>
    </row>
    <row r="9" spans="1:11" x14ac:dyDescent="0.25">
      <c r="A9" s="7" t="s">
        <v>1</v>
      </c>
      <c r="B9" s="61">
        <v>1</v>
      </c>
      <c r="C9" s="61">
        <v>0</v>
      </c>
      <c r="D9" s="61">
        <v>0</v>
      </c>
      <c r="E9" s="61">
        <v>1</v>
      </c>
      <c r="F9" s="61">
        <v>0</v>
      </c>
      <c r="G9" s="61">
        <v>1</v>
      </c>
      <c r="H9" s="61">
        <v>0</v>
      </c>
      <c r="I9" s="61">
        <v>1</v>
      </c>
      <c r="J9" s="61">
        <v>1</v>
      </c>
      <c r="K9" s="61">
        <v>0</v>
      </c>
    </row>
    <row r="10" spans="1:11" x14ac:dyDescent="0.25">
      <c r="A10" s="7" t="s">
        <v>2</v>
      </c>
      <c r="B10" s="61">
        <v>1</v>
      </c>
      <c r="C10" s="61">
        <v>0</v>
      </c>
      <c r="D10" s="61">
        <v>1</v>
      </c>
      <c r="E10" s="61">
        <v>0</v>
      </c>
      <c r="F10" s="61">
        <v>0</v>
      </c>
      <c r="G10" s="61">
        <v>1</v>
      </c>
      <c r="H10" s="61">
        <v>1</v>
      </c>
      <c r="I10" s="61">
        <v>0</v>
      </c>
      <c r="J10" s="59"/>
      <c r="K10" s="59"/>
    </row>
    <row r="11" spans="1:11" x14ac:dyDescent="0.25">
      <c r="A11" s="7" t="s">
        <v>3</v>
      </c>
      <c r="B11" s="61">
        <v>1</v>
      </c>
      <c r="C11" s="61">
        <v>0</v>
      </c>
      <c r="D11" s="61">
        <v>1</v>
      </c>
      <c r="E11" s="61">
        <v>0</v>
      </c>
      <c r="F11" s="61">
        <v>0</v>
      </c>
      <c r="G11" s="61">
        <v>1</v>
      </c>
      <c r="H11" s="61">
        <v>0</v>
      </c>
      <c r="I11" s="61">
        <v>1</v>
      </c>
      <c r="J11" s="59"/>
      <c r="K11" s="59"/>
    </row>
    <row r="12" spans="1:11" x14ac:dyDescent="0.25">
      <c r="A12" s="7" t="s">
        <v>4</v>
      </c>
      <c r="B12" s="61">
        <v>1</v>
      </c>
      <c r="C12" s="61">
        <v>0</v>
      </c>
      <c r="D12" s="61">
        <v>1</v>
      </c>
      <c r="E12" s="61">
        <v>0</v>
      </c>
      <c r="F12" s="61">
        <v>0</v>
      </c>
      <c r="G12" s="61">
        <v>1</v>
      </c>
      <c r="H12" s="61">
        <v>0</v>
      </c>
      <c r="I12" s="61">
        <v>1</v>
      </c>
      <c r="J12" s="61">
        <v>0</v>
      </c>
      <c r="K12" s="61">
        <v>1</v>
      </c>
    </row>
    <row r="13" spans="1:11" x14ac:dyDescent="0.25">
      <c r="A13" s="7" t="s">
        <v>5</v>
      </c>
      <c r="B13" s="61">
        <v>1</v>
      </c>
      <c r="C13" s="61">
        <v>0</v>
      </c>
      <c r="D13" s="61">
        <v>1</v>
      </c>
      <c r="E13" s="61">
        <v>0</v>
      </c>
      <c r="F13" s="61">
        <v>0</v>
      </c>
      <c r="G13" s="61">
        <v>1</v>
      </c>
      <c r="H13" s="61">
        <v>0</v>
      </c>
      <c r="I13" s="61">
        <v>1</v>
      </c>
      <c r="J13" s="61">
        <v>1</v>
      </c>
      <c r="K13" s="61">
        <v>0</v>
      </c>
    </row>
    <row r="14" spans="1:11" x14ac:dyDescent="0.25">
      <c r="A14" s="58" t="s">
        <v>530</v>
      </c>
      <c r="B14" s="59"/>
      <c r="C14" s="59"/>
      <c r="D14" s="59"/>
      <c r="E14" s="59"/>
      <c r="F14" s="59"/>
      <c r="G14" s="59"/>
      <c r="H14" s="59"/>
      <c r="I14" s="59"/>
      <c r="J14" s="59"/>
      <c r="K14" s="59"/>
    </row>
    <row r="15" spans="1:11" x14ac:dyDescent="0.25">
      <c r="A15" s="58" t="s">
        <v>531</v>
      </c>
      <c r="B15" s="59"/>
      <c r="C15" s="59"/>
      <c r="D15" s="59"/>
      <c r="E15" s="59"/>
      <c r="F15" s="59"/>
      <c r="G15" s="59"/>
      <c r="H15" s="59"/>
      <c r="I15" s="59"/>
      <c r="J15" s="61">
        <v>0</v>
      </c>
      <c r="K15" s="61">
        <v>1</v>
      </c>
    </row>
    <row r="16" spans="1:11" x14ac:dyDescent="0.25">
      <c r="A16" s="58" t="s">
        <v>558</v>
      </c>
      <c r="B16" s="59"/>
      <c r="C16" s="59"/>
      <c r="D16" s="59"/>
      <c r="E16" s="59"/>
      <c r="F16" s="59"/>
      <c r="G16" s="59"/>
      <c r="H16" s="59"/>
      <c r="I16" s="59"/>
      <c r="J16" s="61">
        <v>0</v>
      </c>
      <c r="K16" s="61">
        <v>1</v>
      </c>
    </row>
    <row r="17" spans="1:11" x14ac:dyDescent="0.25">
      <c r="A17" s="58" t="s">
        <v>559</v>
      </c>
      <c r="B17" s="59"/>
      <c r="C17" s="59"/>
      <c r="D17" s="59"/>
      <c r="E17" s="59"/>
      <c r="F17" s="59"/>
      <c r="G17" s="59"/>
      <c r="H17" s="59"/>
      <c r="I17" s="59"/>
      <c r="J17" s="59"/>
      <c r="K17" s="59"/>
    </row>
    <row r="19" spans="1:11" x14ac:dyDescent="0.25">
      <c r="A19" s="3" t="s">
        <v>157</v>
      </c>
    </row>
    <row r="20" spans="1:11" ht="30" customHeight="1" x14ac:dyDescent="0.25">
      <c r="A20" s="838" t="s">
        <v>445</v>
      </c>
      <c r="B20" s="838" t="s">
        <v>191</v>
      </c>
      <c r="C20" s="838"/>
      <c r="D20" s="838" t="s">
        <v>563</v>
      </c>
      <c r="E20" s="838"/>
      <c r="F20" s="838" t="s">
        <v>12</v>
      </c>
      <c r="G20" s="838"/>
      <c r="H20" s="838" t="s">
        <v>787</v>
      </c>
      <c r="I20" s="838"/>
    </row>
    <row r="21" spans="1:11" ht="60" x14ac:dyDescent="0.25">
      <c r="A21" s="838"/>
      <c r="B21" s="113" t="s">
        <v>10</v>
      </c>
      <c r="C21" s="113" t="s">
        <v>11</v>
      </c>
      <c r="D21" s="113" t="s">
        <v>10</v>
      </c>
      <c r="E21" s="113" t="s">
        <v>11</v>
      </c>
      <c r="F21" s="113" t="s">
        <v>10</v>
      </c>
      <c r="G21" s="113" t="s">
        <v>11</v>
      </c>
      <c r="H21" s="613" t="s">
        <v>10</v>
      </c>
      <c r="I21" s="613" t="s">
        <v>11</v>
      </c>
    </row>
    <row r="22" spans="1:11" x14ac:dyDescent="0.25">
      <c r="A22" s="7" t="s">
        <v>0</v>
      </c>
      <c r="B22" s="61">
        <v>1</v>
      </c>
      <c r="C22" s="61">
        <v>0</v>
      </c>
      <c r="D22" s="61">
        <v>1</v>
      </c>
      <c r="E22" s="61">
        <v>0</v>
      </c>
      <c r="F22" s="61">
        <v>1</v>
      </c>
      <c r="G22" s="61">
        <v>0</v>
      </c>
      <c r="H22" s="61">
        <v>0</v>
      </c>
      <c r="I22" s="61">
        <v>1</v>
      </c>
    </row>
    <row r="23" spans="1:11" x14ac:dyDescent="0.25">
      <c r="A23" s="7" t="s">
        <v>1</v>
      </c>
      <c r="B23" s="61">
        <v>1</v>
      </c>
      <c r="C23" s="61">
        <v>0</v>
      </c>
      <c r="D23" s="61">
        <v>0</v>
      </c>
      <c r="E23" s="61">
        <v>1</v>
      </c>
      <c r="F23" s="61">
        <v>0</v>
      </c>
      <c r="G23" s="61">
        <v>1</v>
      </c>
      <c r="H23" s="61">
        <v>0</v>
      </c>
      <c r="I23" s="61">
        <v>1</v>
      </c>
    </row>
    <row r="24" spans="1:11" x14ac:dyDescent="0.25">
      <c r="A24" s="7" t="s">
        <v>2</v>
      </c>
      <c r="B24" s="61">
        <v>1</v>
      </c>
      <c r="C24" s="61">
        <v>0</v>
      </c>
      <c r="D24" s="61">
        <v>1</v>
      </c>
      <c r="E24" s="61">
        <v>0</v>
      </c>
      <c r="F24" s="61">
        <v>0</v>
      </c>
      <c r="G24" s="61">
        <v>1</v>
      </c>
      <c r="H24" s="61">
        <v>1</v>
      </c>
      <c r="I24" s="61">
        <v>0</v>
      </c>
    </row>
    <row r="25" spans="1:11" x14ac:dyDescent="0.25">
      <c r="A25" s="7" t="s">
        <v>3</v>
      </c>
      <c r="B25" s="61">
        <v>1</v>
      </c>
      <c r="C25" s="61">
        <v>0</v>
      </c>
      <c r="D25" s="61">
        <v>1</v>
      </c>
      <c r="E25" s="61">
        <v>0</v>
      </c>
      <c r="F25" s="61">
        <v>0</v>
      </c>
      <c r="G25" s="61">
        <v>1</v>
      </c>
      <c r="H25" s="61">
        <v>0</v>
      </c>
      <c r="I25" s="61">
        <v>1</v>
      </c>
    </row>
    <row r="26" spans="1:11" x14ac:dyDescent="0.25">
      <c r="A26" s="7" t="s">
        <v>4</v>
      </c>
      <c r="B26" s="61">
        <v>1</v>
      </c>
      <c r="C26" s="61">
        <v>0</v>
      </c>
      <c r="D26" s="61">
        <v>1</v>
      </c>
      <c r="E26" s="61">
        <v>0</v>
      </c>
      <c r="F26" s="61">
        <v>0</v>
      </c>
      <c r="G26" s="61">
        <v>1</v>
      </c>
      <c r="H26" s="61">
        <v>0</v>
      </c>
      <c r="I26" s="61">
        <v>1</v>
      </c>
    </row>
    <row r="27" spans="1:11" x14ac:dyDescent="0.25">
      <c r="A27" s="7" t="s">
        <v>5</v>
      </c>
      <c r="B27" s="61">
        <v>1</v>
      </c>
      <c r="C27" s="61">
        <v>0</v>
      </c>
      <c r="D27" s="61">
        <v>1</v>
      </c>
      <c r="E27" s="61">
        <v>0</v>
      </c>
      <c r="F27" s="61">
        <v>0</v>
      </c>
      <c r="G27" s="61">
        <v>1</v>
      </c>
      <c r="H27" s="61">
        <v>0</v>
      </c>
      <c r="I27" s="61">
        <v>1</v>
      </c>
    </row>
    <row r="28" spans="1:11" x14ac:dyDescent="0.25">
      <c r="A28" s="58" t="s">
        <v>530</v>
      </c>
      <c r="B28" s="61">
        <v>0</v>
      </c>
      <c r="C28" s="61">
        <v>1</v>
      </c>
      <c r="D28" s="61">
        <v>0</v>
      </c>
      <c r="E28" s="61">
        <v>1</v>
      </c>
      <c r="F28" s="61">
        <v>0</v>
      </c>
      <c r="G28" s="61">
        <v>1</v>
      </c>
      <c r="H28" s="61">
        <v>0</v>
      </c>
      <c r="I28" s="61">
        <v>1</v>
      </c>
    </row>
    <row r="29" spans="1:11" x14ac:dyDescent="0.25">
      <c r="A29" s="58" t="s">
        <v>531</v>
      </c>
      <c r="B29" s="61">
        <v>0</v>
      </c>
      <c r="C29" s="61">
        <v>1</v>
      </c>
      <c r="D29" s="61">
        <v>0</v>
      </c>
      <c r="E29" s="61">
        <v>1</v>
      </c>
      <c r="F29" s="61">
        <v>0</v>
      </c>
      <c r="G29" s="61">
        <v>1</v>
      </c>
      <c r="H29" s="61">
        <v>0</v>
      </c>
      <c r="I29" s="61">
        <v>1</v>
      </c>
    </row>
    <row r="30" spans="1:11" x14ac:dyDescent="0.25">
      <c r="A30" s="58" t="s">
        <v>558</v>
      </c>
      <c r="B30" s="61">
        <v>0</v>
      </c>
      <c r="C30" s="61">
        <v>1</v>
      </c>
      <c r="D30" s="61">
        <v>0</v>
      </c>
      <c r="E30" s="61">
        <v>1</v>
      </c>
      <c r="F30" s="61">
        <v>0</v>
      </c>
      <c r="G30" s="61">
        <v>1</v>
      </c>
      <c r="H30" s="61">
        <v>0</v>
      </c>
      <c r="I30" s="61">
        <v>1</v>
      </c>
    </row>
    <row r="31" spans="1:11" x14ac:dyDescent="0.25">
      <c r="A31" s="58" t="s">
        <v>559</v>
      </c>
      <c r="B31" s="61">
        <v>0</v>
      </c>
      <c r="C31" s="61">
        <v>1</v>
      </c>
      <c r="D31" s="61">
        <v>0</v>
      </c>
      <c r="E31" s="61">
        <v>1</v>
      </c>
      <c r="F31" s="61">
        <v>0</v>
      </c>
      <c r="G31" s="61">
        <v>1</v>
      </c>
      <c r="H31" s="61">
        <v>0</v>
      </c>
      <c r="I31" s="61">
        <v>1</v>
      </c>
    </row>
    <row r="32" spans="1:11" x14ac:dyDescent="0.25">
      <c r="A32" s="18" t="s">
        <v>561</v>
      </c>
    </row>
    <row r="33" spans="1:5" x14ac:dyDescent="0.25">
      <c r="A33" s="18" t="s">
        <v>562</v>
      </c>
    </row>
    <row r="34" spans="1:5" x14ac:dyDescent="0.25">
      <c r="A34" s="18" t="s">
        <v>786</v>
      </c>
    </row>
    <row r="35" spans="1:5" x14ac:dyDescent="0.25">
      <c r="A35" s="18"/>
    </row>
    <row r="36" spans="1:5" ht="30" customHeight="1" x14ac:dyDescent="0.25">
      <c r="A36" s="540" t="s">
        <v>668</v>
      </c>
      <c r="B36" s="838" t="s">
        <v>671</v>
      </c>
      <c r="C36" s="838"/>
      <c r="D36" s="838" t="s">
        <v>673</v>
      </c>
      <c r="E36" s="838"/>
    </row>
    <row r="37" spans="1:5" x14ac:dyDescent="0.25">
      <c r="A37" s="535" t="s">
        <v>81</v>
      </c>
      <c r="B37" s="841">
        <f>'Berths, Terminals, Vessels'!C18</f>
        <v>60</v>
      </c>
      <c r="C37" s="841"/>
      <c r="D37" s="844">
        <f>B37/B$42</f>
        <v>0.49180327868852458</v>
      </c>
      <c r="E37" s="844"/>
    </row>
    <row r="38" spans="1:5" x14ac:dyDescent="0.25">
      <c r="A38" s="535" t="s">
        <v>14</v>
      </c>
      <c r="B38" s="841">
        <f>'Berths, Terminals, Vessels'!C45</f>
        <v>11</v>
      </c>
      <c r="C38" s="841"/>
      <c r="D38" s="844">
        <f t="shared" ref="D38:D41" si="0">B38/B$42</f>
        <v>9.0163934426229511E-2</v>
      </c>
      <c r="E38" s="844"/>
    </row>
    <row r="39" spans="1:5" x14ac:dyDescent="0.25">
      <c r="A39" s="627" t="s">
        <v>837</v>
      </c>
      <c r="B39" s="841">
        <f>'Berths, Terminals, Vessels'!C65</f>
        <v>21</v>
      </c>
      <c r="C39" s="841"/>
      <c r="D39" s="844">
        <f t="shared" si="0"/>
        <v>0.1721311475409836</v>
      </c>
      <c r="E39" s="844"/>
    </row>
    <row r="40" spans="1:5" x14ac:dyDescent="0.25">
      <c r="A40" s="542" t="s">
        <v>674</v>
      </c>
      <c r="B40" s="841">
        <f>'Berths, Terminals, Vessels'!C78+'Berths, Terminals, Vessels'!C79</f>
        <v>13</v>
      </c>
      <c r="C40" s="841"/>
      <c r="D40" s="844">
        <f t="shared" si="0"/>
        <v>0.10655737704918032</v>
      </c>
      <c r="E40" s="844"/>
    </row>
    <row r="41" spans="1:5" ht="15.75" thickBot="1" x14ac:dyDescent="0.3">
      <c r="A41" s="541" t="s">
        <v>675</v>
      </c>
      <c r="B41" s="839">
        <f>'Berths, Terminals, Vessels'!C80+'Berths, Terminals, Vessels'!C81+'Berths, Terminals, Vessels'!C82+'Berths, Terminals, Vessels'!C83</f>
        <v>17</v>
      </c>
      <c r="C41" s="839"/>
      <c r="D41" s="840">
        <f t="shared" si="0"/>
        <v>0.13934426229508196</v>
      </c>
      <c r="E41" s="840"/>
    </row>
    <row r="42" spans="1:5" ht="15.75" thickTop="1" x14ac:dyDescent="0.25">
      <c r="A42" s="539" t="s">
        <v>8</v>
      </c>
      <c r="B42" s="842">
        <f>SUM(B37:C41)</f>
        <v>122</v>
      </c>
      <c r="C42" s="842"/>
      <c r="D42" s="843">
        <f>SUM(D37:E41)</f>
        <v>1</v>
      </c>
      <c r="E42" s="843"/>
    </row>
    <row r="43" spans="1:5" x14ac:dyDescent="0.25">
      <c r="A43" s="18" t="s">
        <v>670</v>
      </c>
    </row>
    <row r="45" spans="1:5" ht="45" customHeight="1" x14ac:dyDescent="0.25">
      <c r="A45" s="540" t="s">
        <v>669</v>
      </c>
      <c r="B45" s="838" t="s">
        <v>672</v>
      </c>
      <c r="C45" s="838"/>
      <c r="D45" s="838" t="s">
        <v>673</v>
      </c>
      <c r="E45" s="838"/>
    </row>
    <row r="46" spans="1:5" x14ac:dyDescent="0.25">
      <c r="A46" s="535" t="s">
        <v>81</v>
      </c>
      <c r="B46" s="841">
        <f>'Berths, Terminals, Vessels'!$I18+'Berths, Terminals, Vessels'!$D18+'Berths, Terminals, Vessels'!$E18</f>
        <v>5</v>
      </c>
      <c r="C46" s="841"/>
      <c r="D46" s="844">
        <f>B46/B$51</f>
        <v>0.1388888888888889</v>
      </c>
      <c r="E46" s="844"/>
    </row>
    <row r="47" spans="1:5" x14ac:dyDescent="0.25">
      <c r="A47" s="535" t="s">
        <v>14</v>
      </c>
      <c r="B47" s="841">
        <f>'Berths, Terminals, Vessels'!$D45+'Berths, Terminals, Vessels'!$E45</f>
        <v>1</v>
      </c>
      <c r="C47" s="841"/>
      <c r="D47" s="844">
        <f>B47/B$51</f>
        <v>2.7777777777777776E-2</v>
      </c>
      <c r="E47" s="844"/>
    </row>
    <row r="48" spans="1:5" x14ac:dyDescent="0.25">
      <c r="A48" s="627" t="s">
        <v>822</v>
      </c>
      <c r="B48" s="756">
        <f>'Berths, Terminals, Vessels'!$G65</f>
        <v>0</v>
      </c>
      <c r="C48" s="756"/>
      <c r="D48" s="844">
        <f>B48/B$51</f>
        <v>0</v>
      </c>
      <c r="E48" s="844"/>
    </row>
    <row r="49" spans="1:9" x14ac:dyDescent="0.25">
      <c r="A49" s="542" t="s">
        <v>674</v>
      </c>
      <c r="B49" s="841">
        <f>'Berths, Terminals, Vessels'!G78+'Berths, Terminals, Vessels'!G79</f>
        <v>13</v>
      </c>
      <c r="C49" s="841"/>
      <c r="D49" s="844">
        <f>B49/B$51</f>
        <v>0.3611111111111111</v>
      </c>
      <c r="E49" s="844"/>
    </row>
    <row r="50" spans="1:9" ht="15.75" thickBot="1" x14ac:dyDescent="0.3">
      <c r="A50" s="541" t="s">
        <v>675</v>
      </c>
      <c r="B50" s="839">
        <f>'Berths, Terminals, Vessels'!G80+'Berths, Terminals, Vessels'!G81+'Berths, Terminals, Vessels'!G82+'Berths, Terminals, Vessels'!G83</f>
        <v>17</v>
      </c>
      <c r="C50" s="839"/>
      <c r="D50" s="840">
        <f t="shared" ref="D50" si="1">B50/B$51</f>
        <v>0.47222222222222221</v>
      </c>
      <c r="E50" s="840"/>
    </row>
    <row r="51" spans="1:9" ht="15.75" thickTop="1" x14ac:dyDescent="0.25">
      <c r="A51" s="539" t="s">
        <v>8</v>
      </c>
      <c r="B51" s="842">
        <f>SUM(B46:C50)</f>
        <v>36</v>
      </c>
      <c r="C51" s="842"/>
      <c r="D51" s="843">
        <f>SUM(D46:E50)</f>
        <v>1</v>
      </c>
      <c r="E51" s="843"/>
    </row>
    <row r="52" spans="1:9" ht="15" customHeight="1" x14ac:dyDescent="0.25">
      <c r="A52" s="786" t="s">
        <v>926</v>
      </c>
      <c r="B52" s="786"/>
      <c r="C52" s="786"/>
      <c r="D52" s="786"/>
      <c r="E52" s="786"/>
      <c r="F52" s="786"/>
      <c r="G52" s="786"/>
      <c r="H52" s="786"/>
      <c r="I52" s="786"/>
    </row>
    <row r="53" spans="1:9" x14ac:dyDescent="0.25">
      <c r="A53" s="786"/>
      <c r="B53" s="786"/>
      <c r="C53" s="786"/>
      <c r="D53" s="786"/>
      <c r="E53" s="786"/>
      <c r="F53" s="786"/>
      <c r="G53" s="786"/>
      <c r="H53" s="786"/>
      <c r="I53" s="786"/>
    </row>
  </sheetData>
  <sheetProtection algorithmName="SHA-512" hashValue="fRUTSKw1UmOw7WGYkBECmB3exnQbMjIjb4dxfjBM6rVGGqATn/KNErkPu1cjm84cEI8nZt48bztIMlCvrdMR8A==" saltValue="/INKHr0hc6ZFzLkz0TN/Sw==" spinCount="100000" sheet="1" objects="1" scenarios="1"/>
  <mergeCells count="43">
    <mergeCell ref="H6:I6"/>
    <mergeCell ref="A52:I53"/>
    <mergeCell ref="B51:C51"/>
    <mergeCell ref="D51:E51"/>
    <mergeCell ref="B47:C47"/>
    <mergeCell ref="B48:C48"/>
    <mergeCell ref="B49:C49"/>
    <mergeCell ref="A20:A21"/>
    <mergeCell ref="B20:C20"/>
    <mergeCell ref="D20:E20"/>
    <mergeCell ref="F20:G20"/>
    <mergeCell ref="B39:C39"/>
    <mergeCell ref="D36:E36"/>
    <mergeCell ref="D37:E37"/>
    <mergeCell ref="D38:E38"/>
    <mergeCell ref="D39:E39"/>
    <mergeCell ref="B1:E1"/>
    <mergeCell ref="B2:E2"/>
    <mergeCell ref="A6:A7"/>
    <mergeCell ref="B6:C6"/>
    <mergeCell ref="D6:E6"/>
    <mergeCell ref="B3:E3"/>
    <mergeCell ref="B36:C36"/>
    <mergeCell ref="B37:C37"/>
    <mergeCell ref="B38:C38"/>
    <mergeCell ref="B41:C41"/>
    <mergeCell ref="D41:E41"/>
    <mergeCell ref="H20:I20"/>
    <mergeCell ref="J6:K6"/>
    <mergeCell ref="B50:C50"/>
    <mergeCell ref="D50:E50"/>
    <mergeCell ref="F6:G6"/>
    <mergeCell ref="B40:C40"/>
    <mergeCell ref="B42:C42"/>
    <mergeCell ref="D42:E42"/>
    <mergeCell ref="D45:E45"/>
    <mergeCell ref="D46:E46"/>
    <mergeCell ref="D40:E40"/>
    <mergeCell ref="B45:C45"/>
    <mergeCell ref="B46:C46"/>
    <mergeCell ref="D47:E47"/>
    <mergeCell ref="D48:E48"/>
    <mergeCell ref="D49:E49"/>
  </mergeCells>
  <pageMargins left="0.7" right="0.7" top="0.75" bottom="0.75" header="0.3" footer="0.3"/>
  <pageSetup paperSize="5" orientation="landscape" r:id="rId1"/>
  <rowBreaks count="2" manualBreakCount="2">
    <brk id="18" max="16383" man="1"/>
    <brk id="35"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FF00"/>
  </sheetPr>
  <dimension ref="A1:K93"/>
  <sheetViews>
    <sheetView zoomScaleNormal="100" zoomScaleSheetLayoutView="80" workbookViewId="0">
      <selection activeCell="H16" sqref="H16"/>
    </sheetView>
  </sheetViews>
  <sheetFormatPr defaultColWidth="9.140625" defaultRowHeight="15" x14ac:dyDescent="0.25"/>
  <cols>
    <col min="1" max="1" width="33.7109375" style="1" customWidth="1"/>
    <col min="2" max="3" width="11.7109375" style="1" customWidth="1"/>
    <col min="4" max="5" width="12.140625" style="1" customWidth="1"/>
    <col min="6" max="10" width="11.7109375" style="1" customWidth="1"/>
    <col min="11" max="11" width="12" style="1" customWidth="1"/>
    <col min="12" max="16" width="11.7109375" style="1" customWidth="1"/>
    <col min="17" max="17" width="12" style="1" customWidth="1"/>
    <col min="18" max="18" width="11.7109375" style="1" customWidth="1"/>
    <col min="19" max="27" width="12.7109375" style="1" customWidth="1"/>
    <col min="28" max="16384" width="9.140625" style="1"/>
  </cols>
  <sheetData>
    <row r="1" spans="1:11" ht="18.75" x14ac:dyDescent="0.3">
      <c r="A1" s="2" t="s">
        <v>148</v>
      </c>
      <c r="I1" s="526"/>
    </row>
    <row r="2" spans="1:11" x14ac:dyDescent="0.25">
      <c r="B2" s="845" t="s">
        <v>386</v>
      </c>
      <c r="C2" s="846"/>
      <c r="D2" s="846"/>
      <c r="E2" s="847"/>
    </row>
    <row r="3" spans="1:11" x14ac:dyDescent="0.25">
      <c r="B3" s="788" t="s">
        <v>374</v>
      </c>
      <c r="C3" s="814"/>
      <c r="D3" s="814"/>
      <c r="E3" s="789"/>
    </row>
    <row r="4" spans="1:11" x14ac:dyDescent="0.25">
      <c r="B4" s="815" t="s">
        <v>375</v>
      </c>
      <c r="C4" s="816"/>
      <c r="D4" s="816"/>
      <c r="E4" s="817"/>
    </row>
    <row r="6" spans="1:11" ht="15.75" x14ac:dyDescent="0.25">
      <c r="A6" s="15" t="s">
        <v>152</v>
      </c>
    </row>
    <row r="7" spans="1:11" ht="31.7" customHeight="1" x14ac:dyDescent="0.25">
      <c r="A7" s="106" t="s">
        <v>175</v>
      </c>
      <c r="B7" s="838" t="s">
        <v>332</v>
      </c>
      <c r="C7" s="838"/>
      <c r="D7" s="838"/>
      <c r="E7" s="838"/>
      <c r="F7" s="838" t="s">
        <v>192</v>
      </c>
      <c r="G7" s="838"/>
    </row>
    <row r="8" spans="1:11" x14ac:dyDescent="0.25">
      <c r="A8" s="718" t="s">
        <v>924</v>
      </c>
      <c r="B8" s="755">
        <f>34+23</f>
        <v>57</v>
      </c>
      <c r="C8" s="755"/>
      <c r="D8" s="755"/>
      <c r="E8" s="755"/>
      <c r="F8" s="856">
        <v>2020</v>
      </c>
      <c r="G8" s="856"/>
    </row>
    <row r="9" spans="1:11" x14ac:dyDescent="0.25">
      <c r="A9" s="475" t="s">
        <v>36</v>
      </c>
      <c r="B9" s="755">
        <f>39+23</f>
        <v>62</v>
      </c>
      <c r="C9" s="755"/>
      <c r="D9" s="755"/>
      <c r="E9" s="755"/>
      <c r="F9" s="856"/>
      <c r="G9" s="856"/>
    </row>
    <row r="10" spans="1:11" s="21" customFormat="1" x14ac:dyDescent="0.25">
      <c r="A10" s="86"/>
      <c r="B10" s="86"/>
      <c r="C10" s="86"/>
      <c r="D10" s="86"/>
    </row>
    <row r="11" spans="1:11" ht="30" customHeight="1" x14ac:dyDescent="0.25">
      <c r="A11" s="304"/>
      <c r="B11" s="854" t="s">
        <v>331</v>
      </c>
      <c r="C11" s="859"/>
      <c r="D11" s="859"/>
      <c r="E11" s="859"/>
      <c r="F11" s="859"/>
      <c r="G11" s="855"/>
      <c r="H11" s="854" t="s">
        <v>923</v>
      </c>
      <c r="I11" s="859"/>
      <c r="J11" s="855"/>
    </row>
    <row r="12" spans="1:11" ht="92.25" x14ac:dyDescent="0.25">
      <c r="A12" s="96" t="s">
        <v>59</v>
      </c>
      <c r="B12" s="5" t="s">
        <v>103</v>
      </c>
      <c r="C12" s="5" t="s">
        <v>104</v>
      </c>
      <c r="D12" s="101" t="s">
        <v>335</v>
      </c>
      <c r="E12" s="101" t="s">
        <v>336</v>
      </c>
      <c r="F12" s="5" t="s">
        <v>9</v>
      </c>
      <c r="G12" s="151" t="s">
        <v>193</v>
      </c>
      <c r="H12" s="5" t="s">
        <v>6</v>
      </c>
      <c r="I12" s="97" t="s">
        <v>154</v>
      </c>
      <c r="J12" s="5" t="s">
        <v>7</v>
      </c>
      <c r="K12" s="100"/>
    </row>
    <row r="13" spans="1:11" ht="14.25" customHeight="1" x14ac:dyDescent="0.25">
      <c r="A13" s="7" t="s">
        <v>0</v>
      </c>
      <c r="B13" s="51">
        <v>7</v>
      </c>
      <c r="C13" s="51">
        <v>22</v>
      </c>
      <c r="D13" s="51">
        <v>0</v>
      </c>
      <c r="E13" s="51">
        <v>2</v>
      </c>
      <c r="F13" s="51">
        <v>0</v>
      </c>
      <c r="G13" s="850">
        <v>2020</v>
      </c>
      <c r="H13" s="51">
        <v>0</v>
      </c>
      <c r="I13" s="51">
        <v>0</v>
      </c>
      <c r="J13" s="51">
        <v>0</v>
      </c>
      <c r="K13" s="11"/>
    </row>
    <row r="14" spans="1:11" x14ac:dyDescent="0.25">
      <c r="A14" s="7" t="s">
        <v>1</v>
      </c>
      <c r="B14" s="51">
        <v>6</v>
      </c>
      <c r="C14" s="51">
        <v>20</v>
      </c>
      <c r="D14" s="51">
        <v>0</v>
      </c>
      <c r="E14" s="51">
        <v>0</v>
      </c>
      <c r="F14" s="51">
        <v>0</v>
      </c>
      <c r="G14" s="852"/>
      <c r="H14" s="51">
        <v>0</v>
      </c>
      <c r="I14" s="51">
        <v>0</v>
      </c>
      <c r="J14" s="51">
        <v>1</v>
      </c>
      <c r="K14" s="11"/>
    </row>
    <row r="15" spans="1:11" x14ac:dyDescent="0.25">
      <c r="A15" s="7" t="s">
        <v>2</v>
      </c>
      <c r="B15" s="51">
        <v>4</v>
      </c>
      <c r="C15" s="51">
        <v>12</v>
      </c>
      <c r="D15" s="51">
        <v>0</v>
      </c>
      <c r="E15" s="51">
        <v>3</v>
      </c>
      <c r="F15" s="51">
        <v>0</v>
      </c>
      <c r="G15" s="852"/>
      <c r="H15" s="51">
        <v>0</v>
      </c>
      <c r="I15" s="51">
        <v>0</v>
      </c>
      <c r="J15" s="51">
        <v>0</v>
      </c>
      <c r="K15" s="11"/>
    </row>
    <row r="16" spans="1:11" x14ac:dyDescent="0.25">
      <c r="A16" s="7" t="s">
        <v>4</v>
      </c>
      <c r="B16" s="51">
        <v>1</v>
      </c>
      <c r="C16" s="51">
        <v>3</v>
      </c>
      <c r="D16" s="51">
        <v>0</v>
      </c>
      <c r="E16" s="51">
        <v>0</v>
      </c>
      <c r="F16" s="51">
        <v>0</v>
      </c>
      <c r="G16" s="852"/>
      <c r="H16" s="51">
        <v>0</v>
      </c>
      <c r="I16" s="51">
        <v>0</v>
      </c>
      <c r="J16" s="51">
        <v>0</v>
      </c>
      <c r="K16" s="11"/>
    </row>
    <row r="17" spans="1:11" ht="15.75" thickBot="1" x14ac:dyDescent="0.3">
      <c r="A17" s="78" t="s">
        <v>5</v>
      </c>
      <c r="B17" s="98">
        <v>1</v>
      </c>
      <c r="C17" s="98">
        <v>3</v>
      </c>
      <c r="D17" s="98">
        <v>0</v>
      </c>
      <c r="E17" s="98">
        <v>0</v>
      </c>
      <c r="F17" s="98">
        <v>0</v>
      </c>
      <c r="G17" s="853"/>
      <c r="H17" s="98">
        <v>0</v>
      </c>
      <c r="I17" s="98">
        <v>0</v>
      </c>
      <c r="J17" s="98">
        <v>0</v>
      </c>
      <c r="K17" s="11"/>
    </row>
    <row r="18" spans="1:11" ht="15.75" thickTop="1" x14ac:dyDescent="0.25">
      <c r="A18" s="99" t="s">
        <v>75</v>
      </c>
      <c r="B18" s="447">
        <f>SUM(B13:B17)</f>
        <v>19</v>
      </c>
      <c r="C18" s="447">
        <f t="shared" ref="C18:J18" si="0">SUM(C13:C17)</f>
        <v>60</v>
      </c>
      <c r="D18" s="447">
        <f t="shared" si="0"/>
        <v>0</v>
      </c>
      <c r="E18" s="447">
        <f t="shared" si="0"/>
        <v>5</v>
      </c>
      <c r="F18" s="447">
        <f t="shared" si="0"/>
        <v>0</v>
      </c>
      <c r="G18" s="448" t="s">
        <v>79</v>
      </c>
      <c r="H18" s="447">
        <f t="shared" si="0"/>
        <v>0</v>
      </c>
      <c r="I18" s="447">
        <f t="shared" si="0"/>
        <v>0</v>
      </c>
      <c r="J18" s="447">
        <f t="shared" si="0"/>
        <v>1</v>
      </c>
      <c r="K18" s="11"/>
    </row>
    <row r="19" spans="1:11" x14ac:dyDescent="0.25">
      <c r="A19" s="136" t="s">
        <v>334</v>
      </c>
      <c r="B19" s="114"/>
      <c r="C19" s="114"/>
    </row>
    <row r="20" spans="1:11" ht="15" customHeight="1" x14ac:dyDescent="0.25">
      <c r="A20" s="857" t="s">
        <v>443</v>
      </c>
      <c r="B20" s="857"/>
      <c r="C20" s="857"/>
      <c r="D20" s="857"/>
      <c r="E20" s="857"/>
      <c r="F20" s="857"/>
      <c r="G20" s="857"/>
      <c r="H20" s="857"/>
      <c r="I20" s="857"/>
      <c r="J20" s="857"/>
    </row>
    <row r="21" spans="1:11" x14ac:dyDescent="0.25">
      <c r="A21" s="857"/>
      <c r="B21" s="857"/>
      <c r="C21" s="857"/>
      <c r="D21" s="857"/>
      <c r="E21" s="857"/>
      <c r="F21" s="857"/>
      <c r="G21" s="857"/>
      <c r="H21" s="857"/>
      <c r="I21" s="857"/>
      <c r="J21" s="857"/>
    </row>
    <row r="22" spans="1:11" x14ac:dyDescent="0.25">
      <c r="A22" s="857"/>
      <c r="B22" s="857"/>
      <c r="C22" s="857"/>
      <c r="D22" s="857"/>
      <c r="E22" s="857"/>
      <c r="F22" s="857"/>
      <c r="G22" s="857"/>
      <c r="H22" s="857"/>
      <c r="I22" s="857"/>
      <c r="J22" s="857"/>
    </row>
    <row r="23" spans="1:11" x14ac:dyDescent="0.25">
      <c r="A23" s="857"/>
      <c r="B23" s="857"/>
      <c r="C23" s="857"/>
      <c r="D23" s="857"/>
      <c r="E23" s="857"/>
      <c r="F23" s="857"/>
      <c r="G23" s="857"/>
      <c r="H23" s="857"/>
      <c r="I23" s="857"/>
      <c r="J23" s="857"/>
    </row>
    <row r="24" spans="1:11" x14ac:dyDescent="0.25">
      <c r="A24" s="857"/>
      <c r="B24" s="857"/>
      <c r="C24" s="857"/>
      <c r="D24" s="857"/>
      <c r="E24" s="857"/>
      <c r="F24" s="857"/>
      <c r="G24" s="857"/>
      <c r="H24" s="857"/>
      <c r="I24" s="857"/>
      <c r="J24" s="857"/>
    </row>
    <row r="25" spans="1:11" x14ac:dyDescent="0.25">
      <c r="A25" s="857"/>
      <c r="B25" s="857"/>
      <c r="C25" s="857"/>
      <c r="D25" s="857"/>
      <c r="E25" s="857"/>
      <c r="F25" s="857"/>
      <c r="G25" s="857"/>
      <c r="H25" s="857"/>
      <c r="I25" s="857"/>
      <c r="J25" s="857"/>
    </row>
    <row r="26" spans="1:11" x14ac:dyDescent="0.25">
      <c r="A26" s="857"/>
      <c r="B26" s="857"/>
      <c r="C26" s="857"/>
      <c r="D26" s="857"/>
      <c r="E26" s="857"/>
      <c r="F26" s="857"/>
      <c r="G26" s="857"/>
      <c r="H26" s="857"/>
      <c r="I26" s="857"/>
      <c r="J26" s="857"/>
    </row>
    <row r="27" spans="1:11" x14ac:dyDescent="0.25">
      <c r="A27" s="857"/>
      <c r="B27" s="857"/>
      <c r="C27" s="857"/>
      <c r="D27" s="857"/>
      <c r="E27" s="857"/>
      <c r="F27" s="857"/>
      <c r="G27" s="857"/>
      <c r="H27" s="857"/>
      <c r="I27" s="857"/>
      <c r="J27" s="857"/>
    </row>
    <row r="28" spans="1:11" x14ac:dyDescent="0.25">
      <c r="A28" s="857"/>
      <c r="B28" s="857"/>
      <c r="C28" s="857"/>
      <c r="D28" s="857"/>
      <c r="E28" s="857"/>
      <c r="F28" s="857"/>
      <c r="G28" s="857"/>
      <c r="H28" s="857"/>
      <c r="I28" s="857"/>
      <c r="J28" s="857"/>
    </row>
    <row r="29" spans="1:11" x14ac:dyDescent="0.25">
      <c r="A29" s="857"/>
      <c r="B29" s="857"/>
      <c r="C29" s="857"/>
      <c r="D29" s="857"/>
      <c r="E29" s="857"/>
      <c r="F29" s="857"/>
      <c r="G29" s="857"/>
      <c r="H29" s="857"/>
      <c r="I29" s="857"/>
      <c r="J29" s="857"/>
    </row>
    <row r="30" spans="1:11" x14ac:dyDescent="0.25">
      <c r="A30" s="857"/>
      <c r="B30" s="857"/>
      <c r="C30" s="857"/>
      <c r="D30" s="857"/>
      <c r="E30" s="857"/>
      <c r="F30" s="857"/>
      <c r="G30" s="857"/>
      <c r="H30" s="857"/>
      <c r="I30" s="857"/>
      <c r="J30" s="857"/>
    </row>
    <row r="31" spans="1:11" x14ac:dyDescent="0.25">
      <c r="A31" s="18" t="s">
        <v>436</v>
      </c>
      <c r="B31" s="156"/>
      <c r="C31" s="156"/>
      <c r="D31" s="156"/>
      <c r="E31" s="156"/>
      <c r="F31" s="156"/>
      <c r="G31" s="156"/>
      <c r="H31" s="156"/>
      <c r="I31" s="156"/>
      <c r="J31" s="156"/>
    </row>
    <row r="32" spans="1:11" x14ac:dyDescent="0.25">
      <c r="A32" s="18" t="s">
        <v>565</v>
      </c>
    </row>
    <row r="33" spans="1:11" x14ac:dyDescent="0.25">
      <c r="A33" s="18" t="s">
        <v>564</v>
      </c>
    </row>
    <row r="35" spans="1:11" ht="15.75" x14ac:dyDescent="0.25">
      <c r="A35" s="15" t="s">
        <v>153</v>
      </c>
      <c r="K35" s="21"/>
    </row>
    <row r="36" spans="1:11" ht="31.7" customHeight="1" x14ac:dyDescent="0.25">
      <c r="A36" s="151" t="s">
        <v>175</v>
      </c>
      <c r="B36" s="838" t="s">
        <v>332</v>
      </c>
      <c r="C36" s="838"/>
      <c r="D36" s="838"/>
      <c r="E36" s="838"/>
      <c r="F36" s="838" t="s">
        <v>192</v>
      </c>
      <c r="G36" s="838"/>
    </row>
    <row r="37" spans="1:11" x14ac:dyDescent="0.25">
      <c r="A37" s="115" t="s">
        <v>106</v>
      </c>
      <c r="B37" s="858">
        <f>14+12</f>
        <v>26</v>
      </c>
      <c r="C37" s="858"/>
      <c r="D37" s="858"/>
      <c r="E37" s="858"/>
      <c r="F37" s="755">
        <v>2020</v>
      </c>
      <c r="G37" s="755"/>
      <c r="H37" s="11"/>
    </row>
    <row r="39" spans="1:11" ht="15" customHeight="1" x14ac:dyDescent="0.25">
      <c r="A39" s="304"/>
      <c r="B39" s="854" t="s">
        <v>333</v>
      </c>
      <c r="C39" s="859"/>
      <c r="D39" s="859"/>
      <c r="E39" s="859"/>
      <c r="F39" s="859"/>
      <c r="G39" s="855"/>
    </row>
    <row r="40" spans="1:11" ht="75" x14ac:dyDescent="0.25">
      <c r="A40" s="96" t="s">
        <v>59</v>
      </c>
      <c r="B40" s="95" t="s">
        <v>103</v>
      </c>
      <c r="C40" s="95" t="s">
        <v>104</v>
      </c>
      <c r="D40" s="95" t="s">
        <v>147</v>
      </c>
      <c r="E40" s="101" t="s">
        <v>248</v>
      </c>
      <c r="F40" s="95" t="s">
        <v>9</v>
      </c>
      <c r="G40" s="151" t="s">
        <v>193</v>
      </c>
    </row>
    <row r="41" spans="1:11" x14ac:dyDescent="0.25">
      <c r="A41" s="7" t="s">
        <v>0</v>
      </c>
      <c r="B41" s="51">
        <v>1</v>
      </c>
      <c r="C41" s="51">
        <v>2</v>
      </c>
      <c r="D41" s="51">
        <v>0</v>
      </c>
      <c r="E41" s="51">
        <v>0</v>
      </c>
      <c r="F41" s="51">
        <v>0</v>
      </c>
      <c r="G41" s="850">
        <v>2020</v>
      </c>
    </row>
    <row r="42" spans="1:11" x14ac:dyDescent="0.25">
      <c r="A42" s="7" t="s">
        <v>1</v>
      </c>
      <c r="B42" s="51">
        <v>1</v>
      </c>
      <c r="C42" s="51">
        <v>1</v>
      </c>
      <c r="D42" s="51">
        <v>0</v>
      </c>
      <c r="E42" s="51">
        <v>0</v>
      </c>
      <c r="F42" s="51">
        <v>0</v>
      </c>
      <c r="G42" s="852"/>
    </row>
    <row r="43" spans="1:11" x14ac:dyDescent="0.25">
      <c r="A43" s="7" t="s">
        <v>3</v>
      </c>
      <c r="B43" s="51">
        <v>1</v>
      </c>
      <c r="C43" s="51">
        <v>2</v>
      </c>
      <c r="D43" s="51">
        <v>1</v>
      </c>
      <c r="E43" s="51">
        <v>0</v>
      </c>
      <c r="F43" s="51">
        <v>0</v>
      </c>
      <c r="G43" s="852"/>
    </row>
    <row r="44" spans="1:11" ht="15.75" thickBot="1" x14ac:dyDescent="0.3">
      <c r="A44" s="7" t="s">
        <v>4</v>
      </c>
      <c r="B44" s="51">
        <v>2</v>
      </c>
      <c r="C44" s="51">
        <v>6</v>
      </c>
      <c r="D44" s="157">
        <v>0</v>
      </c>
      <c r="E44" s="157">
        <v>0</v>
      </c>
      <c r="F44" s="51">
        <v>0</v>
      </c>
      <c r="G44" s="853"/>
    </row>
    <row r="45" spans="1:11" ht="15.75" thickTop="1" x14ac:dyDescent="0.25">
      <c r="A45" s="99" t="s">
        <v>75</v>
      </c>
      <c r="B45" s="447">
        <f>SUM(B41:B44)</f>
        <v>5</v>
      </c>
      <c r="C45" s="447">
        <f t="shared" ref="C45:F45" si="1">SUM(C41:C44)</f>
        <v>11</v>
      </c>
      <c r="D45" s="447">
        <f t="shared" si="1"/>
        <v>1</v>
      </c>
      <c r="E45" s="447">
        <f t="shared" si="1"/>
        <v>0</v>
      </c>
      <c r="F45" s="447">
        <f t="shared" si="1"/>
        <v>0</v>
      </c>
      <c r="G45" s="448" t="s">
        <v>79</v>
      </c>
    </row>
    <row r="46" spans="1:11" s="71" customFormat="1" ht="15" customHeight="1" x14ac:dyDescent="0.25">
      <c r="A46" s="860" t="s">
        <v>438</v>
      </c>
      <c r="B46" s="860"/>
      <c r="C46" s="860"/>
      <c r="D46" s="860"/>
      <c r="E46" s="860"/>
      <c r="F46" s="860"/>
      <c r="G46" s="860"/>
    </row>
    <row r="47" spans="1:11" s="71" customFormat="1" ht="15" customHeight="1" x14ac:dyDescent="0.25">
      <c r="A47" s="857"/>
      <c r="B47" s="857"/>
      <c r="C47" s="857"/>
      <c r="D47" s="857"/>
      <c r="E47" s="857"/>
      <c r="F47" s="857"/>
      <c r="G47" s="857"/>
    </row>
    <row r="48" spans="1:11" x14ac:dyDescent="0.25">
      <c r="A48" s="18" t="s">
        <v>437</v>
      </c>
    </row>
    <row r="50" spans="1:9" ht="15.75" x14ac:dyDescent="0.25">
      <c r="A50" s="15" t="s">
        <v>838</v>
      </c>
    </row>
    <row r="51" spans="1:9" ht="17.25" x14ac:dyDescent="0.25">
      <c r="A51" s="848" t="s">
        <v>455</v>
      </c>
      <c r="B51" s="848"/>
      <c r="C51" s="848"/>
      <c r="D51" s="848"/>
      <c r="E51" s="848"/>
      <c r="F51" s="848"/>
      <c r="G51" s="848"/>
      <c r="H51" s="51">
        <v>0</v>
      </c>
    </row>
    <row r="52" spans="1:9" x14ac:dyDescent="0.25">
      <c r="A52" s="848" t="s">
        <v>329</v>
      </c>
      <c r="B52" s="848"/>
      <c r="C52" s="848"/>
      <c r="D52" s="848"/>
      <c r="E52" s="848"/>
      <c r="F52" s="848"/>
      <c r="G52" s="848"/>
      <c r="H52" s="51" t="s">
        <v>454</v>
      </c>
    </row>
    <row r="53" spans="1:9" ht="17.25" x14ac:dyDescent="0.25">
      <c r="A53" s="848" t="s">
        <v>456</v>
      </c>
      <c r="B53" s="848"/>
      <c r="C53" s="848"/>
      <c r="D53" s="848"/>
      <c r="E53" s="848"/>
      <c r="F53" s="848"/>
      <c r="G53" s="848"/>
      <c r="H53" s="51">
        <f>21+240</f>
        <v>261</v>
      </c>
    </row>
    <row r="54" spans="1:9" x14ac:dyDescent="0.25">
      <c r="A54" s="848" t="s">
        <v>192</v>
      </c>
      <c r="B54" s="848"/>
      <c r="C54" s="848"/>
      <c r="D54" s="848"/>
      <c r="E54" s="848"/>
      <c r="F54" s="848"/>
      <c r="G54" s="848"/>
      <c r="H54" s="51">
        <v>2024</v>
      </c>
    </row>
    <row r="56" spans="1:9" ht="30" customHeight="1" x14ac:dyDescent="0.25">
      <c r="B56" s="854" t="s">
        <v>325</v>
      </c>
      <c r="C56" s="859"/>
      <c r="D56" s="855"/>
      <c r="E56" s="298" t="s">
        <v>322</v>
      </c>
      <c r="F56" s="838" t="s">
        <v>922</v>
      </c>
      <c r="G56" s="838"/>
      <c r="H56" s="838"/>
    </row>
    <row r="57" spans="1:9" ht="90" x14ac:dyDescent="0.25">
      <c r="A57" s="96" t="s">
        <v>445</v>
      </c>
      <c r="B57" s="5" t="s">
        <v>103</v>
      </c>
      <c r="C57" s="5" t="s">
        <v>104</v>
      </c>
      <c r="D57" s="151" t="s">
        <v>194</v>
      </c>
      <c r="E57" s="88" t="s">
        <v>147</v>
      </c>
      <c r="F57" s="5" t="s">
        <v>6</v>
      </c>
      <c r="G57" s="97" t="s">
        <v>154</v>
      </c>
      <c r="H57" s="5" t="s">
        <v>7</v>
      </c>
    </row>
    <row r="58" spans="1:9" x14ac:dyDescent="0.25">
      <c r="A58" s="7" t="s">
        <v>0</v>
      </c>
      <c r="B58" s="51">
        <v>1</v>
      </c>
      <c r="C58" s="51">
        <v>4</v>
      </c>
      <c r="D58" s="850">
        <v>2024</v>
      </c>
      <c r="E58" s="449">
        <f>C58</f>
        <v>4</v>
      </c>
      <c r="F58" s="51">
        <v>0</v>
      </c>
      <c r="G58" s="51">
        <v>0</v>
      </c>
      <c r="H58" s="51">
        <v>1</v>
      </c>
    </row>
    <row r="59" spans="1:9" x14ac:dyDescent="0.25">
      <c r="A59" s="7" t="s">
        <v>1</v>
      </c>
      <c r="B59" s="51">
        <v>3</v>
      </c>
      <c r="C59" s="51">
        <v>4</v>
      </c>
      <c r="D59" s="852"/>
      <c r="E59" s="449">
        <f t="shared" ref="E59:E64" si="2">C59</f>
        <v>4</v>
      </c>
      <c r="F59" s="51">
        <v>1</v>
      </c>
      <c r="G59" s="51">
        <v>0</v>
      </c>
      <c r="H59" s="51">
        <v>1</v>
      </c>
    </row>
    <row r="60" spans="1:9" x14ac:dyDescent="0.25">
      <c r="A60" s="7" t="s">
        <v>3</v>
      </c>
      <c r="B60" s="51">
        <v>1</v>
      </c>
      <c r="C60" s="51">
        <v>1</v>
      </c>
      <c r="D60" s="852"/>
      <c r="E60" s="449">
        <f t="shared" si="2"/>
        <v>1</v>
      </c>
      <c r="F60" s="51">
        <v>0</v>
      </c>
      <c r="G60" s="51">
        <v>0</v>
      </c>
      <c r="H60" s="51">
        <v>1</v>
      </c>
    </row>
    <row r="61" spans="1:9" x14ac:dyDescent="0.25">
      <c r="A61" s="7" t="s">
        <v>4</v>
      </c>
      <c r="B61" s="51">
        <v>1</v>
      </c>
      <c r="C61" s="51">
        <v>5</v>
      </c>
      <c r="D61" s="852"/>
      <c r="E61" s="449">
        <f t="shared" si="2"/>
        <v>5</v>
      </c>
      <c r="F61" s="51">
        <v>1</v>
      </c>
      <c r="G61" s="51">
        <v>0</v>
      </c>
      <c r="H61" s="51">
        <v>1</v>
      </c>
    </row>
    <row r="62" spans="1:9" x14ac:dyDescent="0.25">
      <c r="A62" s="7" t="s">
        <v>5</v>
      </c>
      <c r="B62" s="51">
        <v>3</v>
      </c>
      <c r="C62" s="51">
        <v>4</v>
      </c>
      <c r="D62" s="852"/>
      <c r="E62" s="449">
        <f t="shared" si="2"/>
        <v>4</v>
      </c>
      <c r="F62" s="51">
        <v>1</v>
      </c>
      <c r="G62" s="157">
        <v>0</v>
      </c>
      <c r="H62" s="51">
        <v>0</v>
      </c>
      <c r="I62" s="11"/>
    </row>
    <row r="63" spans="1:9" x14ac:dyDescent="0.25">
      <c r="A63" s="58" t="s">
        <v>531</v>
      </c>
      <c r="B63" s="51">
        <v>1</v>
      </c>
      <c r="C63" s="51">
        <v>1</v>
      </c>
      <c r="D63" s="852"/>
      <c r="E63" s="449">
        <f t="shared" si="2"/>
        <v>1</v>
      </c>
      <c r="F63" s="51">
        <v>0</v>
      </c>
      <c r="G63" s="51">
        <v>0</v>
      </c>
      <c r="H63" s="51">
        <v>1</v>
      </c>
    </row>
    <row r="64" spans="1:9" ht="15.75" thickBot="1" x14ac:dyDescent="0.3">
      <c r="A64" s="58" t="s">
        <v>558</v>
      </c>
      <c r="B64" s="51">
        <v>1</v>
      </c>
      <c r="C64" s="51">
        <v>2</v>
      </c>
      <c r="D64" s="853"/>
      <c r="E64" s="450">
        <f t="shared" si="2"/>
        <v>2</v>
      </c>
      <c r="F64" s="51">
        <v>0</v>
      </c>
      <c r="G64" s="51">
        <v>0</v>
      </c>
      <c r="H64" s="51">
        <v>1</v>
      </c>
    </row>
    <row r="65" spans="1:9" ht="15.75" thickTop="1" x14ac:dyDescent="0.25">
      <c r="A65" s="99" t="s">
        <v>75</v>
      </c>
      <c r="B65" s="447">
        <f>SUM(B58:B64)</f>
        <v>11</v>
      </c>
      <c r="C65" s="447">
        <f t="shared" ref="C65:H65" si="3">SUM(C58:C64)</f>
        <v>21</v>
      </c>
      <c r="D65" s="448" t="s">
        <v>79</v>
      </c>
      <c r="E65" s="447">
        <f t="shared" si="3"/>
        <v>21</v>
      </c>
      <c r="F65" s="447">
        <f t="shared" si="3"/>
        <v>3</v>
      </c>
      <c r="G65" s="447">
        <f t="shared" si="3"/>
        <v>0</v>
      </c>
      <c r="H65" s="447">
        <f t="shared" si="3"/>
        <v>6</v>
      </c>
    </row>
    <row r="66" spans="1:9" ht="15" customHeight="1" x14ac:dyDescent="0.25">
      <c r="A66" s="481" t="s">
        <v>453</v>
      </c>
      <c r="B66" s="482"/>
      <c r="C66" s="482"/>
      <c r="D66" s="482"/>
      <c r="E66" s="482"/>
      <c r="F66" s="483"/>
    </row>
    <row r="67" spans="1:9" ht="15" customHeight="1" x14ac:dyDescent="0.25">
      <c r="A67" s="484" t="s">
        <v>839</v>
      </c>
      <c r="B67" s="484"/>
      <c r="C67" s="484"/>
      <c r="D67" s="484"/>
      <c r="E67" s="484"/>
      <c r="F67" s="484"/>
      <c r="G67" s="484"/>
    </row>
    <row r="68" spans="1:9" x14ac:dyDescent="0.25">
      <c r="A68" s="18" t="s">
        <v>612</v>
      </c>
    </row>
    <row r="70" spans="1:9" ht="15.75" x14ac:dyDescent="0.25">
      <c r="A70" s="15" t="s">
        <v>933</v>
      </c>
    </row>
    <row r="71" spans="1:9" ht="17.25" x14ac:dyDescent="0.25">
      <c r="A71" s="848" t="s">
        <v>455</v>
      </c>
      <c r="B71" s="848"/>
      <c r="C71" s="848"/>
      <c r="D71" s="848"/>
      <c r="E71" s="848"/>
      <c r="F71" s="848"/>
      <c r="G71" s="848"/>
      <c r="H71" s="51">
        <v>0</v>
      </c>
    </row>
    <row r="72" spans="1:9" x14ac:dyDescent="0.25">
      <c r="A72" s="848" t="s">
        <v>329</v>
      </c>
      <c r="B72" s="848"/>
      <c r="C72" s="848"/>
      <c r="D72" s="848"/>
      <c r="E72" s="848"/>
      <c r="F72" s="848"/>
      <c r="G72" s="848"/>
      <c r="H72" s="51" t="s">
        <v>454</v>
      </c>
    </row>
    <row r="73" spans="1:9" ht="17.25" x14ac:dyDescent="0.25">
      <c r="A73" s="848" t="s">
        <v>456</v>
      </c>
      <c r="B73" s="848"/>
      <c r="C73" s="848"/>
      <c r="D73" s="848"/>
      <c r="E73" s="848"/>
      <c r="F73" s="848"/>
      <c r="G73" s="848"/>
      <c r="H73" s="157">
        <v>414</v>
      </c>
      <c r="I73" s="11"/>
    </row>
    <row r="74" spans="1:9" x14ac:dyDescent="0.25">
      <c r="A74" s="848" t="s">
        <v>330</v>
      </c>
      <c r="B74" s="848"/>
      <c r="C74" s="848"/>
      <c r="D74" s="848"/>
      <c r="E74" s="848"/>
      <c r="F74" s="848"/>
      <c r="G74" s="848"/>
      <c r="H74" s="51">
        <v>2026</v>
      </c>
    </row>
    <row r="76" spans="1:9" ht="30" customHeight="1" x14ac:dyDescent="0.25">
      <c r="A76" s="698" t="s">
        <v>677</v>
      </c>
      <c r="B76" s="838" t="s">
        <v>325</v>
      </c>
      <c r="C76" s="838"/>
      <c r="D76" s="838"/>
      <c r="E76" s="854" t="s">
        <v>322</v>
      </c>
      <c r="F76" s="855"/>
      <c r="G76" s="498" t="s">
        <v>921</v>
      </c>
    </row>
    <row r="77" spans="1:9" ht="107.25" x14ac:dyDescent="0.25">
      <c r="A77" s="96" t="s">
        <v>445</v>
      </c>
      <c r="B77" s="5" t="s">
        <v>103</v>
      </c>
      <c r="C77" s="5" t="s">
        <v>104</v>
      </c>
      <c r="D77" s="151" t="s">
        <v>323</v>
      </c>
      <c r="E77" s="88" t="s">
        <v>147</v>
      </c>
      <c r="F77" s="5" t="s">
        <v>326</v>
      </c>
      <c r="G77" s="101" t="s">
        <v>327</v>
      </c>
    </row>
    <row r="78" spans="1:9" x14ac:dyDescent="0.25">
      <c r="A78" s="7" t="s">
        <v>1</v>
      </c>
      <c r="B78" s="157">
        <v>3</v>
      </c>
      <c r="C78" s="157">
        <v>7</v>
      </c>
      <c r="D78" s="850">
        <v>2024</v>
      </c>
      <c r="E78" s="449">
        <f>C78</f>
        <v>7</v>
      </c>
      <c r="F78" s="51">
        <v>0</v>
      </c>
      <c r="G78" s="10">
        <f t="shared" ref="G78:G83" si="4">C78</f>
        <v>7</v>
      </c>
    </row>
    <row r="79" spans="1:9" ht="17.25" x14ac:dyDescent="0.25">
      <c r="A79" s="522" t="s">
        <v>654</v>
      </c>
      <c r="B79" s="157">
        <v>5</v>
      </c>
      <c r="C79" s="157">
        <v>6</v>
      </c>
      <c r="D79" s="851"/>
      <c r="E79" s="449">
        <f t="shared" ref="E79:E83" si="5">C79</f>
        <v>6</v>
      </c>
      <c r="F79" s="51">
        <v>0</v>
      </c>
      <c r="G79" s="10">
        <f t="shared" si="4"/>
        <v>6</v>
      </c>
    </row>
    <row r="80" spans="1:9" x14ac:dyDescent="0.25">
      <c r="A80" s="58" t="s">
        <v>530</v>
      </c>
      <c r="B80" s="157">
        <v>1</v>
      </c>
      <c r="C80" s="157">
        <v>1</v>
      </c>
      <c r="D80" s="850">
        <v>2026</v>
      </c>
      <c r="E80" s="449">
        <f t="shared" si="5"/>
        <v>1</v>
      </c>
      <c r="F80" s="51">
        <v>0</v>
      </c>
      <c r="G80" s="10">
        <f t="shared" si="4"/>
        <v>1</v>
      </c>
      <c r="H80" s="11"/>
    </row>
    <row r="81" spans="1:8" x14ac:dyDescent="0.25">
      <c r="A81" s="58" t="s">
        <v>531</v>
      </c>
      <c r="B81" s="157">
        <v>4</v>
      </c>
      <c r="C81" s="157">
        <v>7</v>
      </c>
      <c r="D81" s="852"/>
      <c r="E81" s="449">
        <f t="shared" si="5"/>
        <v>7</v>
      </c>
      <c r="F81" s="51">
        <v>0</v>
      </c>
      <c r="G81" s="10">
        <f t="shared" si="4"/>
        <v>7</v>
      </c>
    </row>
    <row r="82" spans="1:8" x14ac:dyDescent="0.25">
      <c r="A82" s="58" t="s">
        <v>558</v>
      </c>
      <c r="B82" s="157">
        <v>5</v>
      </c>
      <c r="C82" s="157">
        <v>6</v>
      </c>
      <c r="D82" s="852"/>
      <c r="E82" s="449">
        <f t="shared" si="5"/>
        <v>6</v>
      </c>
      <c r="F82" s="51">
        <v>0</v>
      </c>
      <c r="G82" s="10">
        <f t="shared" si="4"/>
        <v>6</v>
      </c>
    </row>
    <row r="83" spans="1:8" ht="15.75" thickBot="1" x14ac:dyDescent="0.3">
      <c r="A83" s="58" t="s">
        <v>559</v>
      </c>
      <c r="B83" s="157">
        <v>2</v>
      </c>
      <c r="C83" s="157">
        <v>3</v>
      </c>
      <c r="D83" s="853"/>
      <c r="E83" s="449">
        <f t="shared" si="5"/>
        <v>3</v>
      </c>
      <c r="F83" s="51">
        <v>0</v>
      </c>
      <c r="G83" s="10">
        <f t="shared" si="4"/>
        <v>3</v>
      </c>
    </row>
    <row r="84" spans="1:8" ht="15.75" thickTop="1" x14ac:dyDescent="0.25">
      <c r="A84" s="99" t="s">
        <v>75</v>
      </c>
      <c r="B84" s="447">
        <f>SUM(B78:B83)</f>
        <v>20</v>
      </c>
      <c r="C84" s="447">
        <f>SUM(C78:C83)</f>
        <v>30</v>
      </c>
      <c r="D84" s="448" t="s">
        <v>79</v>
      </c>
      <c r="E84" s="447">
        <f t="shared" ref="E84:G84" si="6">SUM(E78:E83)</f>
        <v>30</v>
      </c>
      <c r="F84" s="447">
        <f t="shared" si="6"/>
        <v>0</v>
      </c>
      <c r="G84" s="447">
        <f t="shared" si="6"/>
        <v>30</v>
      </c>
    </row>
    <row r="85" spans="1:8" s="71" customFormat="1" ht="15" customHeight="1" x14ac:dyDescent="0.25">
      <c r="A85" s="303" t="s">
        <v>453</v>
      </c>
      <c r="B85" s="303"/>
      <c r="C85" s="303"/>
      <c r="D85" s="303"/>
      <c r="E85" s="303"/>
      <c r="F85" s="303"/>
      <c r="G85" s="303"/>
      <c r="H85" s="1"/>
    </row>
    <row r="86" spans="1:8" s="71" customFormat="1" x14ac:dyDescent="0.25">
      <c r="A86" s="849" t="s">
        <v>324</v>
      </c>
      <c r="B86" s="849"/>
      <c r="C86" s="849"/>
      <c r="D86" s="849"/>
      <c r="E86" s="849"/>
      <c r="F86" s="849"/>
      <c r="G86" s="849"/>
      <c r="H86" s="14"/>
    </row>
    <row r="87" spans="1:8" s="71" customFormat="1" x14ac:dyDescent="0.25">
      <c r="A87" s="301" t="s">
        <v>439</v>
      </c>
      <c r="B87" s="14"/>
      <c r="C87" s="14"/>
      <c r="D87" s="300"/>
      <c r="E87" s="14"/>
      <c r="F87" s="14"/>
      <c r="G87" s="14"/>
      <c r="H87" s="14"/>
    </row>
    <row r="88" spans="1:8" s="71" customFormat="1" x14ac:dyDescent="0.25">
      <c r="A88" s="301" t="s">
        <v>328</v>
      </c>
      <c r="B88" s="14"/>
      <c r="C88" s="14"/>
      <c r="D88" s="300"/>
      <c r="E88" s="14"/>
      <c r="F88" s="14"/>
      <c r="G88" s="14"/>
      <c r="H88" s="14"/>
    </row>
    <row r="89" spans="1:8" s="71" customFormat="1" x14ac:dyDescent="0.25">
      <c r="A89" s="125" t="s">
        <v>396</v>
      </c>
      <c r="B89" s="14"/>
      <c r="C89" s="14"/>
      <c r="D89" s="300"/>
      <c r="E89" s="14"/>
      <c r="F89" s="14"/>
      <c r="G89" s="14"/>
      <c r="H89" s="14"/>
    </row>
    <row r="90" spans="1:8" s="71" customFormat="1" x14ac:dyDescent="0.25">
      <c r="A90" s="125" t="s">
        <v>428</v>
      </c>
      <c r="B90" s="14"/>
      <c r="C90" s="14"/>
      <c r="D90" s="300"/>
      <c r="E90" s="14"/>
      <c r="F90" s="14"/>
      <c r="G90" s="14"/>
      <c r="H90" s="14"/>
    </row>
    <row r="91" spans="1:8" s="71" customFormat="1" x14ac:dyDescent="0.25">
      <c r="A91" s="301" t="s">
        <v>653</v>
      </c>
      <c r="H91" s="302"/>
    </row>
    <row r="92" spans="1:8" x14ac:dyDescent="0.25">
      <c r="A92" s="473"/>
    </row>
    <row r="93" spans="1:8" x14ac:dyDescent="0.25">
      <c r="A93" s="11"/>
    </row>
  </sheetData>
  <sheetProtection algorithmName="SHA-512" hashValue="T0VkoEMh43DaiSXiKP/z+u0eilHHpHN0d36qAwNcFNzLzRdtj/4Q6vfSWBHV7e4M4KV2mWL3oU7PKTMlXqovLg==" saltValue="XhBVVtp50Ve+KDQaz7HZBQ==" spinCount="100000" sheet="1" objects="1" scenarios="1"/>
  <mergeCells count="35">
    <mergeCell ref="F36:G36"/>
    <mergeCell ref="H11:J11"/>
    <mergeCell ref="B11:G11"/>
    <mergeCell ref="G13:G17"/>
    <mergeCell ref="F56:H56"/>
    <mergeCell ref="B56:D56"/>
    <mergeCell ref="A54:G54"/>
    <mergeCell ref="A52:G52"/>
    <mergeCell ref="A46:G47"/>
    <mergeCell ref="G41:G44"/>
    <mergeCell ref="D58:D64"/>
    <mergeCell ref="A53:G53"/>
    <mergeCell ref="B2:E2"/>
    <mergeCell ref="B3:E3"/>
    <mergeCell ref="B4:E4"/>
    <mergeCell ref="F7:G7"/>
    <mergeCell ref="A51:G51"/>
    <mergeCell ref="F8:G9"/>
    <mergeCell ref="B7:E7"/>
    <mergeCell ref="B8:E8"/>
    <mergeCell ref="B9:E9"/>
    <mergeCell ref="A20:J30"/>
    <mergeCell ref="B36:E36"/>
    <mergeCell ref="B37:E37"/>
    <mergeCell ref="F37:G37"/>
    <mergeCell ref="B39:G39"/>
    <mergeCell ref="A71:G71"/>
    <mergeCell ref="A72:G72"/>
    <mergeCell ref="A73:G73"/>
    <mergeCell ref="A74:G74"/>
    <mergeCell ref="A86:G86"/>
    <mergeCell ref="D78:D79"/>
    <mergeCell ref="D80:D83"/>
    <mergeCell ref="B76:D76"/>
    <mergeCell ref="E76:F76"/>
  </mergeCells>
  <pageMargins left="0.7" right="0.7" top="0.75" bottom="0.75" header="0.3" footer="0.3"/>
  <pageSetup paperSize="5" orientation="landscape" r:id="rId1"/>
  <rowBreaks count="3" manualBreakCount="3">
    <brk id="28" max="16383" man="1"/>
    <brk id="49" max="16383" man="1"/>
    <brk id="69"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20</vt:i4>
      </vt:variant>
      <vt:variant>
        <vt:lpstr>Named Ranges</vt:lpstr>
      </vt:variant>
      <vt:variant>
        <vt:i4>4</vt:i4>
      </vt:variant>
    </vt:vector>
  </HeadingPairs>
  <TitlesOfParts>
    <vt:vector size="24" baseType="lpstr">
      <vt:lpstr>Cover</vt:lpstr>
      <vt:lpstr>Contents</vt:lpstr>
      <vt:lpstr>Relative Costs</vt:lpstr>
      <vt:lpstr>Summary</vt:lpstr>
      <vt:lpstr>Cost Inputs</vt:lpstr>
      <vt:lpstr>Electricity &amp; Fuel</vt:lpstr>
      <vt:lpstr>Growth</vt:lpstr>
      <vt:lpstr>Apportion</vt:lpstr>
      <vt:lpstr>Berths, Terminals, Vessels</vt:lpstr>
      <vt:lpstr>Exceptions &amp; Events</vt:lpstr>
      <vt:lpstr>Vessel Visits</vt:lpstr>
      <vt:lpstr>C&amp;C-Container &amp; Ro-Ro</vt:lpstr>
      <vt:lpstr>C&amp;C-Tankers</vt:lpstr>
      <vt:lpstr>SP Berth Retrofit</vt:lpstr>
      <vt:lpstr>SP Vessel Retrofit</vt:lpstr>
      <vt:lpstr>SP Labor &amp; Energy</vt:lpstr>
      <vt:lpstr>Admin</vt:lpstr>
      <vt:lpstr>Remediation</vt:lpstr>
      <vt:lpstr>POLB Analysis</vt:lpstr>
      <vt:lpstr>Hueneme Analysis</vt:lpstr>
      <vt:lpstr>Contents!Print_Area</vt:lpstr>
      <vt:lpstr>Cover!Print_Area</vt:lpstr>
      <vt:lpstr>'Relative Costs'!Print_Area</vt:lpstr>
      <vt:lpstr>'Vessel Visits'!Print_Titles</vt:lpstr>
    </vt:vector>
  </TitlesOfParts>
  <Company>CARB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Haynes, Tracy@ARB</dc:creator>
  <cp:lastModifiedBy>Layla Gonzalez</cp:lastModifiedBy>
  <cp:lastPrinted>2019-08-01T15:00:58Z</cp:lastPrinted>
  <dcterms:created xsi:type="dcterms:W3CDTF">2018-12-26T18:23:58Z</dcterms:created>
  <dcterms:modified xsi:type="dcterms:W3CDTF">2019-08-20T13:58:50Z</dcterms:modified>
</cp:coreProperties>
</file>