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6995" windowHeight="9180" activeTab="1"/>
  </bookViews>
  <sheets>
    <sheet name="Summary" sheetId="2" r:id="rId1"/>
    <sheet name="Yearly Summary" sheetId="1" r:id="rId2"/>
    <sheet name="Sheet1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I2" i="1" l="1"/>
  <c r="R5" i="1" l="1"/>
  <c r="R6" i="1"/>
  <c r="R7" i="1"/>
  <c r="R8" i="1"/>
  <c r="R9" i="1"/>
  <c r="R10" i="1"/>
  <c r="R11" i="1"/>
  <c r="R12" i="1"/>
  <c r="R13" i="1"/>
  <c r="R14" i="1"/>
  <c r="R15" i="1"/>
  <c r="Q15" i="1"/>
  <c r="Q14" i="1"/>
  <c r="Q13" i="1"/>
  <c r="Q12" i="1"/>
  <c r="Q11" i="1"/>
  <c r="Q10" i="1"/>
  <c r="Q9" i="1"/>
  <c r="Q8" i="1"/>
  <c r="Q7" i="1"/>
  <c r="Q6" i="1"/>
  <c r="Q5" i="1"/>
  <c r="F15" i="1"/>
  <c r="F14" i="1"/>
  <c r="F13" i="1"/>
  <c r="F12" i="1"/>
  <c r="F11" i="1"/>
  <c r="F10" i="1"/>
  <c r="F9" i="1"/>
  <c r="F8" i="1"/>
  <c r="F7" i="1"/>
  <c r="F6" i="1"/>
  <c r="F5" i="1"/>
  <c r="E15" i="1"/>
  <c r="E14" i="1"/>
  <c r="E13" i="1"/>
  <c r="E12" i="1"/>
  <c r="E11" i="1"/>
  <c r="E10" i="1"/>
  <c r="E9" i="1"/>
  <c r="E8" i="1"/>
  <c r="E7" i="1"/>
  <c r="E6" i="1"/>
  <c r="E5" i="1"/>
  <c r="D15" i="1"/>
  <c r="D14" i="1"/>
  <c r="D13" i="1"/>
  <c r="D12" i="1"/>
  <c r="D11" i="1"/>
  <c r="D10" i="1"/>
  <c r="D9" i="1"/>
  <c r="D8" i="1"/>
  <c r="D7" i="1"/>
  <c r="D6" i="1"/>
  <c r="D5" i="1"/>
  <c r="C15" i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N13" i="1"/>
  <c r="N12" i="1"/>
  <c r="N11" i="1"/>
  <c r="N10" i="1"/>
  <c r="N9" i="1"/>
  <c r="N8" i="1"/>
  <c r="N7" i="1"/>
  <c r="N6" i="1"/>
  <c r="N5" i="1"/>
  <c r="R16" i="1" l="1"/>
  <c r="Q16" i="1"/>
  <c r="O5" i="1" l="1"/>
  <c r="C3" i="2" s="1"/>
  <c r="O6" i="1"/>
  <c r="C4" i="2" s="1"/>
  <c r="O7" i="1"/>
  <c r="C5" i="2" s="1"/>
  <c r="O8" i="1"/>
  <c r="C6" i="2" s="1"/>
  <c r="O9" i="1"/>
  <c r="C7" i="2" s="1"/>
  <c r="O10" i="1"/>
  <c r="C8" i="2" s="1"/>
  <c r="O11" i="1"/>
  <c r="C9" i="2" s="1"/>
  <c r="O12" i="1"/>
  <c r="C10" i="2" s="1"/>
  <c r="O13" i="1"/>
  <c r="C11" i="2" s="1"/>
  <c r="O14" i="1"/>
  <c r="C12" i="2" s="1"/>
  <c r="O15" i="1"/>
  <c r="C13" i="2" s="1"/>
  <c r="N16" i="1" l="1"/>
  <c r="M16" i="1"/>
  <c r="L16" i="1"/>
  <c r="K16" i="1"/>
  <c r="O16" i="1" l="1"/>
  <c r="C14" i="2" l="1"/>
  <c r="G15" i="1" l="1"/>
  <c r="H15" i="1" l="1"/>
  <c r="S15" i="1"/>
  <c r="D16" i="1"/>
  <c r="F16" i="1"/>
  <c r="G6" i="1"/>
  <c r="G14" i="1"/>
  <c r="G12" i="1"/>
  <c r="G10" i="1"/>
  <c r="G8" i="1"/>
  <c r="G13" i="1"/>
  <c r="G11" i="1"/>
  <c r="G9" i="1"/>
  <c r="G7" i="1"/>
  <c r="C16" i="1"/>
  <c r="H10" i="1" l="1"/>
  <c r="S10" i="1"/>
  <c r="H14" i="1"/>
  <c r="S14" i="1"/>
  <c r="H9" i="1"/>
  <c r="S9" i="1"/>
  <c r="H13" i="1"/>
  <c r="S13" i="1"/>
  <c r="H7" i="1"/>
  <c r="S7" i="1"/>
  <c r="H11" i="1"/>
  <c r="S11" i="1"/>
  <c r="H8" i="1"/>
  <c r="S8" i="1"/>
  <c r="H12" i="1"/>
  <c r="S12" i="1"/>
  <c r="H6" i="1"/>
  <c r="S6" i="1"/>
  <c r="E16" i="1"/>
  <c r="G5" i="1"/>
  <c r="S5" i="1" s="1"/>
  <c r="B16" i="1"/>
  <c r="H5" i="1" l="1"/>
  <c r="G16" i="1"/>
  <c r="I5" i="1" l="1"/>
  <c r="I6" i="1"/>
  <c r="I7" i="1"/>
  <c r="I10" i="1"/>
  <c r="I9" i="1"/>
  <c r="I8" i="1"/>
  <c r="I11" i="1"/>
  <c r="I12" i="1"/>
  <c r="I13" i="1"/>
  <c r="I14" i="1"/>
  <c r="H16" i="1"/>
  <c r="J10" i="1"/>
  <c r="J9" i="1"/>
  <c r="J6" i="1"/>
  <c r="J7" i="1"/>
  <c r="I15" i="1"/>
  <c r="P7" i="1" l="1"/>
  <c r="D5" i="2" s="1"/>
  <c r="B5" i="2"/>
  <c r="P9" i="1"/>
  <c r="D7" i="2" s="1"/>
  <c r="B7" i="2"/>
  <c r="P6" i="1"/>
  <c r="D4" i="2" s="1"/>
  <c r="B4" i="2"/>
  <c r="P10" i="1"/>
  <c r="D8" i="2" s="1"/>
  <c r="B8" i="2"/>
  <c r="J15" i="1"/>
  <c r="J14" i="1"/>
  <c r="J12" i="1"/>
  <c r="J8" i="1"/>
  <c r="J13" i="1"/>
  <c r="J11" i="1"/>
  <c r="S16" i="1"/>
  <c r="J5" i="1"/>
  <c r="B3" i="2" s="1"/>
  <c r="I16" i="1"/>
  <c r="P13" i="1" l="1"/>
  <c r="D11" i="2" s="1"/>
  <c r="B11" i="2"/>
  <c r="P15" i="1"/>
  <c r="D13" i="2" s="1"/>
  <c r="B13" i="2"/>
  <c r="P11" i="1"/>
  <c r="D9" i="2" s="1"/>
  <c r="B9" i="2"/>
  <c r="P8" i="1"/>
  <c r="D6" i="2" s="1"/>
  <c r="B6" i="2"/>
  <c r="P14" i="1"/>
  <c r="D12" i="2" s="1"/>
  <c r="B12" i="2"/>
  <c r="P12" i="1"/>
  <c r="D10" i="2" s="1"/>
  <c r="B10" i="2"/>
  <c r="J16" i="1"/>
  <c r="P5" i="1"/>
  <c r="B14" i="2" l="1"/>
  <c r="P16" i="1"/>
  <c r="D14" i="2" s="1"/>
  <c r="D3" i="2"/>
</calcChain>
</file>

<file path=xl/sharedStrings.xml><?xml version="1.0" encoding="utf-8"?>
<sst xmlns="http://schemas.openxmlformats.org/spreadsheetml/2006/main" count="30" uniqueCount="28">
  <si>
    <t>CY</t>
  </si>
  <si>
    <t>Instate Heavy Large</t>
  </si>
  <si>
    <t>Instate Heavy Small</t>
  </si>
  <si>
    <t>Instate Light</t>
  </si>
  <si>
    <t>OOS Large Heavy</t>
  </si>
  <si>
    <t>OOS Small Heavy</t>
  </si>
  <si>
    <t>Total</t>
  </si>
  <si>
    <t>Regen Cost</t>
  </si>
  <si>
    <t>Retrofits Maintenance</t>
  </si>
  <si>
    <t>Reporting Cost</t>
  </si>
  <si>
    <t>OEM Filter Maintenance</t>
  </si>
  <si>
    <t>Tans &amp; Warehousing</t>
  </si>
  <si>
    <t>Costruction</t>
  </si>
  <si>
    <t>Ag</t>
  </si>
  <si>
    <t>Costs Attributed to Amendments (2014 $)</t>
  </si>
  <si>
    <t>Total Capital cost (Current $)</t>
  </si>
  <si>
    <t>Costs Attributed to Amendments</t>
  </si>
  <si>
    <t>Ongoing Cost</t>
  </si>
  <si>
    <t>(2014 $ in millions)</t>
  </si>
  <si>
    <t>Capital Recovery Value</t>
  </si>
  <si>
    <t>Capital Recovery Value (2014 $)</t>
  </si>
  <si>
    <t>Total Annual Expenditures (2014 $)</t>
  </si>
  <si>
    <t>Total Annual Ongoing Expenditures (2014 $)</t>
  </si>
  <si>
    <t>Annual Capital Expenditures (2014 $)</t>
  </si>
  <si>
    <t>Total Annual Expenditures for the Proposed Amendments Based on Population Differential</t>
  </si>
  <si>
    <t>Annual Filter Expenditures (2014 $)</t>
  </si>
  <si>
    <t>Retrofits</t>
  </si>
  <si>
    <t>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</si>
</sst>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1" fillId="0" borderId="0" xfId="1"/>
    <xf numFmtId="0" fontId="5" fillId="0" borderId="1" xfId="2" applyFont="1" applyFill="1" applyBorder="1" applyAlignment="1">
      <alignment horizontal="center" wrapText="1"/>
    </xf>
    <xf numFmtId="6" fontId="6" fillId="0" borderId="1" xfId="1" applyNumberFormat="1" applyFont="1" applyBorder="1"/>
    <xf numFmtId="0" fontId="7" fillId="0" borderId="1" xfId="1" applyFont="1" applyBorder="1" applyAlignment="1">
      <alignment horizontal="center"/>
    </xf>
    <xf numFmtId="6" fontId="6" fillId="0" borderId="2" xfId="1" applyNumberFormat="1" applyFont="1" applyBorder="1"/>
    <xf numFmtId="6" fontId="6" fillId="0" borderId="3" xfId="1" applyNumberFormat="1" applyFont="1" applyBorder="1"/>
    <xf numFmtId="6" fontId="6" fillId="0" borderId="5" xfId="1" applyNumberFormat="1" applyFont="1" applyBorder="1"/>
    <xf numFmtId="6" fontId="6" fillId="0" borderId="6" xfId="1" applyNumberFormat="1" applyFont="1" applyBorder="1"/>
    <xf numFmtId="0" fontId="1" fillId="0" borderId="1" xfId="1" applyBorder="1"/>
    <xf numFmtId="6" fontId="6" fillId="0" borderId="9" xfId="1" applyNumberFormat="1" applyFont="1" applyBorder="1"/>
    <xf numFmtId="9" fontId="1" fillId="0" borderId="0" xfId="1" applyNumberFormat="1"/>
    <xf numFmtId="6" fontId="1" fillId="0" borderId="0" xfId="1" applyNumberFormat="1"/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3" xfId="1" applyBorder="1" applyAlignment="1">
      <alignment horizontal="center" vertical="center" wrapText="1"/>
    </xf>
    <xf numFmtId="0" fontId="1" fillId="0" borderId="3" xfId="1" applyBorder="1"/>
    <xf numFmtId="0" fontId="2" fillId="0" borderId="0" xfId="1" applyFont="1" applyBorder="1" applyAlignment="1">
      <alignment wrapText="1"/>
    </xf>
    <xf numFmtId="8" fontId="1" fillId="0" borderId="0" xfId="1" applyNumberFormat="1"/>
    <xf numFmtId="164" fontId="1" fillId="0" borderId="0" xfId="1" applyNumberFormat="1"/>
    <xf numFmtId="6" fontId="6" fillId="0" borderId="5" xfId="1" applyNumberFormat="1" applyFont="1" applyBorder="1" applyAlignment="1">
      <alignment horizontal="right"/>
    </xf>
    <xf numFmtId="0" fontId="4" fillId="0" borderId="1" xfId="2" applyFont="1" applyFill="1" applyBorder="1" applyAlignment="1">
      <alignment horizontal="center" wrapText="1"/>
    </xf>
    <xf numFmtId="0" fontId="4" fillId="0" borderId="1" xfId="2" quotePrefix="1" applyFont="1" applyFill="1" applyBorder="1" applyAlignment="1">
      <alignment horizontal="center" wrapText="1"/>
    </xf>
    <xf numFmtId="0" fontId="4" fillId="0" borderId="4" xfId="2" quotePrefix="1" applyFont="1" applyFill="1" applyBorder="1" applyAlignment="1">
      <alignment horizontal="center" wrapText="1"/>
    </xf>
    <xf numFmtId="0" fontId="2" fillId="0" borderId="0" xfId="1" applyFont="1" applyBorder="1" applyAlignment="1"/>
    <xf numFmtId="0" fontId="1" fillId="0" borderId="2" xfId="1" applyBorder="1" applyAlignment="1">
      <alignment horizontal="center" vertical="center" wrapText="1"/>
    </xf>
    <xf numFmtId="6" fontId="6" fillId="0" borderId="11" xfId="1" applyNumberFormat="1" applyFont="1" applyBorder="1"/>
    <xf numFmtId="6" fontId="6" fillId="0" borderId="12" xfId="1" applyNumberFormat="1" applyFont="1" applyBorder="1"/>
    <xf numFmtId="0" fontId="1" fillId="0" borderId="2" xfId="1" applyBorder="1"/>
    <xf numFmtId="6" fontId="6" fillId="0" borderId="14" xfId="1" applyNumberFormat="1" applyFont="1" applyBorder="1"/>
    <xf numFmtId="0" fontId="4" fillId="2" borderId="1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2" borderId="8" xfId="2" applyFont="1" applyFill="1" applyBorder="1" applyAlignment="1">
      <alignment horizontal="center" wrapText="1"/>
    </xf>
    <xf numFmtId="0" fontId="4" fillId="2" borderId="7" xfId="2" quotePrefix="1" applyFont="1" applyFill="1" applyBorder="1" applyAlignment="1">
      <alignment horizontal="center" wrapText="1"/>
    </xf>
    <xf numFmtId="0" fontId="4" fillId="2" borderId="8" xfId="2" quotePrefix="1" applyFont="1" applyFill="1" applyBorder="1" applyAlignment="1">
      <alignment horizontal="center" wrapText="1"/>
    </xf>
    <xf numFmtId="0" fontId="4" fillId="2" borderId="10" xfId="2" quotePrefix="1" applyFont="1" applyFill="1" applyBorder="1" applyAlignment="1">
      <alignment horizontal="center" wrapText="1"/>
    </xf>
    <xf numFmtId="0" fontId="4" fillId="2" borderId="11" xfId="2" quotePrefix="1" applyFont="1" applyFill="1" applyBorder="1" applyAlignment="1">
      <alignment horizontal="center" wrapText="1"/>
    </xf>
    <xf numFmtId="0" fontId="4" fillId="2" borderId="13" xfId="2" quotePrefix="1" applyFont="1" applyFill="1" applyBorder="1" applyAlignment="1">
      <alignment horizontal="center" wrapText="1"/>
    </xf>
    <xf numFmtId="0" fontId="4" fillId="2" borderId="15" xfId="2" quotePrefix="1" applyFont="1" applyFill="1" applyBorder="1" applyAlignment="1">
      <alignment horizontal="center" wrapText="1"/>
    </xf>
    <xf numFmtId="0" fontId="4" fillId="2" borderId="16" xfId="2" applyFont="1" applyFill="1" applyBorder="1" applyAlignment="1">
      <alignment horizontal="center" wrapText="1"/>
    </xf>
    <xf numFmtId="6" fontId="6" fillId="0" borderId="16" xfId="1" applyNumberFormat="1" applyFont="1" applyBorder="1"/>
    <xf numFmtId="6" fontId="6" fillId="0" borderId="17" xfId="1" applyNumberFormat="1" applyFont="1" applyBorder="1"/>
    <xf numFmtId="0" fontId="4" fillId="2" borderId="2" xfId="2" applyFont="1" applyFill="1" applyBorder="1" applyAlignment="1">
      <alignment horizontal="center" wrapText="1"/>
    </xf>
    <xf numFmtId="0" fontId="4" fillId="2" borderId="18" xfId="2" quotePrefix="1" applyFont="1" applyFill="1" applyBorder="1" applyAlignment="1">
      <alignment horizontal="center" wrapText="1"/>
    </xf>
    <xf numFmtId="0" fontId="4" fillId="2" borderId="19" xfId="2" quotePrefix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'Yearly Summary'!$A$5:$A$15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'Yearly Summary'!$P$5:$P$15</c:f>
              <c:numCache>
                <c:formatCode>"$"#,##0_);[Red]\("$"#,##0\)</c:formatCode>
                <c:ptCount val="11"/>
                <c:pt idx="0">
                  <c:v>-49291605.064269669</c:v>
                </c:pt>
                <c:pt idx="1">
                  <c:v>-115966017.069159</c:v>
                </c:pt>
                <c:pt idx="2">
                  <c:v>-107413600.25855574</c:v>
                </c:pt>
                <c:pt idx="3">
                  <c:v>-71365669.783833265</c:v>
                </c:pt>
                <c:pt idx="4">
                  <c:v>-57931817.028606489</c:v>
                </c:pt>
                <c:pt idx="5">
                  <c:v>-4845821.5425647162</c:v>
                </c:pt>
                <c:pt idx="6">
                  <c:v>-5456085.5174933858</c:v>
                </c:pt>
                <c:pt idx="7">
                  <c:v>-20116122.672203396</c:v>
                </c:pt>
                <c:pt idx="8">
                  <c:v>-4319209.6462427704</c:v>
                </c:pt>
                <c:pt idx="9">
                  <c:v>12757510.60424047</c:v>
                </c:pt>
                <c:pt idx="10">
                  <c:v>3932440.2001856789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20160"/>
        <c:axId val="99227136"/>
      </c:barChart>
      <c:catAx>
        <c:axId val="9902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6750809273840771"/>
              <c:y val="0.90182852143482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/>
            </a:pPr>
            <a:endParaRPr lang="en-US"/>
          </a:p>
        </c:txPr>
        <c:crossAx val="99227136"/>
        <c:crosses val="autoZero"/>
        <c:auto val="1"/>
        <c:lblAlgn val="ctr"/>
        <c:lblOffset val="100"/>
        <c:noMultiLvlLbl val="0"/>
      </c:catAx>
      <c:valAx>
        <c:axId val="9922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Reduction Attributed to Amendments (millions)</a:t>
                </a:r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02016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</xdr:colOff>
      <xdr:row>20</xdr:row>
      <xdr:rowOff>38100</xdr:rowOff>
    </xdr:from>
    <xdr:to>
      <xdr:col>5</xdr:col>
      <xdr:colOff>271462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Regeneration_and_Maintenance%20Cos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Fleets_reporting_co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of Filter Count"/>
      <sheetName val="Instate Small Fleets Heavy New"/>
      <sheetName val="Instate Heavy Small Fleet Data"/>
      <sheetName val="Instate Large Fleets Heavy New"/>
      <sheetName val="Instate Heavy Large Fleet Data"/>
      <sheetName val="Veh Cost Data"/>
      <sheetName val="OOS Large Fleets Heavy"/>
      <sheetName val="OOS Small Fleets Heavy"/>
      <sheetName val="OOS Filter Count"/>
      <sheetName val="Instate Fleets Light"/>
      <sheetName val="OEM &amp; Filter Change"/>
      <sheetName val="Sheet9"/>
      <sheetName val="Sheet3"/>
    </sheetNames>
    <sheetDataSet>
      <sheetData sheetId="0">
        <row r="4">
          <cell r="Z4">
            <v>-24434305.159846373</v>
          </cell>
          <cell r="AA4">
            <v>-590351619.38332355</v>
          </cell>
        </row>
        <row r="5">
          <cell r="Z5">
            <v>-52266717.847254612</v>
          </cell>
          <cell r="AA5">
            <v>-778044581.93592215</v>
          </cell>
        </row>
        <row r="6">
          <cell r="Z6">
            <v>11451583.313503854</v>
          </cell>
          <cell r="AA6">
            <v>118795040.76090516</v>
          </cell>
        </row>
        <row r="7">
          <cell r="Z7">
            <v>0</v>
          </cell>
          <cell r="AA7">
            <v>369715675.93576831</v>
          </cell>
        </row>
        <row r="8">
          <cell r="Z8">
            <v>85340.029176691591</v>
          </cell>
          <cell r="AA8">
            <v>34904087.763089694</v>
          </cell>
        </row>
        <row r="9">
          <cell r="Z9">
            <v>0</v>
          </cell>
          <cell r="AA9">
            <v>596359180.65118575</v>
          </cell>
        </row>
        <row r="10">
          <cell r="Z10">
            <v>0</v>
          </cell>
          <cell r="AA10">
            <v>-251570089.56969494</v>
          </cell>
        </row>
        <row r="11">
          <cell r="Z11">
            <v>0</v>
          </cell>
          <cell r="AA11">
            <v>-77167600.949479699</v>
          </cell>
        </row>
        <row r="12">
          <cell r="Z12">
            <v>0</v>
          </cell>
          <cell r="AA12">
            <v>260153253.80155611</v>
          </cell>
        </row>
        <row r="13">
          <cell r="Z13">
            <v>0</v>
          </cell>
          <cell r="AA13">
            <v>2314989.1472269003</v>
          </cell>
        </row>
        <row r="14">
          <cell r="Z14">
            <v>0</v>
          </cell>
          <cell r="AA14">
            <v>1068279.5267779927</v>
          </cell>
        </row>
      </sheetData>
      <sheetData sheetId="1"/>
      <sheetData sheetId="2">
        <row r="87">
          <cell r="K87">
            <v>-502122949.08115566</v>
          </cell>
        </row>
        <row r="88">
          <cell r="K88">
            <v>-167070886.88307464</v>
          </cell>
        </row>
        <row r="89">
          <cell r="K89">
            <v>35201976.044870399</v>
          </cell>
        </row>
        <row r="90">
          <cell r="K90">
            <v>141436968.53429025</v>
          </cell>
        </row>
        <row r="91">
          <cell r="K91">
            <v>9047251.8339337446</v>
          </cell>
        </row>
        <row r="92">
          <cell r="K92">
            <v>324665520.64496881</v>
          </cell>
        </row>
        <row r="93">
          <cell r="K93">
            <v>-112395629.09429109</v>
          </cell>
        </row>
        <row r="94">
          <cell r="K94">
            <v>-19876946.373139843</v>
          </cell>
        </row>
        <row r="95">
          <cell r="K95">
            <v>38224958.429353863</v>
          </cell>
        </row>
        <row r="96">
          <cell r="K96">
            <v>-6056.398376035615</v>
          </cell>
        </row>
        <row r="97">
          <cell r="K97">
            <v>-35553.115320412777</v>
          </cell>
        </row>
      </sheetData>
      <sheetData sheetId="3"/>
      <sheetData sheetId="4">
        <row r="87">
          <cell r="K87">
            <v>-44390002.877843015</v>
          </cell>
        </row>
        <row r="88">
          <cell r="K88">
            <v>-696772122.74595118</v>
          </cell>
        </row>
        <row r="89">
          <cell r="K89">
            <v>70285496.282210216</v>
          </cell>
        </row>
        <row r="90">
          <cell r="K90">
            <v>208810371.21273869</v>
          </cell>
        </row>
        <row r="91">
          <cell r="K91">
            <v>12837196.346098322</v>
          </cell>
        </row>
        <row r="92">
          <cell r="K92">
            <v>266796755.05753043</v>
          </cell>
        </row>
        <row r="93">
          <cell r="K93">
            <v>-66550193.449704319</v>
          </cell>
        </row>
        <row r="94">
          <cell r="K94">
            <v>-12846317.493486347</v>
          </cell>
        </row>
        <row r="95">
          <cell r="K95">
            <v>109625385.28731053</v>
          </cell>
        </row>
        <row r="96">
          <cell r="K96">
            <v>110120.60183715627</v>
          </cell>
        </row>
        <row r="97">
          <cell r="K97">
            <v>47855.448754782497</v>
          </cell>
        </row>
      </sheetData>
      <sheetData sheetId="5"/>
      <sheetData sheetId="6"/>
      <sheetData sheetId="7">
        <row r="87">
          <cell r="K87">
            <v>20164115.872170143</v>
          </cell>
        </row>
        <row r="88">
          <cell r="K88">
            <v>24288752.43219677</v>
          </cell>
        </row>
        <row r="89">
          <cell r="K89">
            <v>24488258.111165505</v>
          </cell>
        </row>
        <row r="90">
          <cell r="K90">
            <v>18942003.234494288</v>
          </cell>
        </row>
        <row r="91">
          <cell r="K91">
            <v>14800989.411384288</v>
          </cell>
        </row>
        <row r="92">
          <cell r="K92">
            <v>-55070356.149943985</v>
          </cell>
        </row>
        <row r="93">
          <cell r="K93">
            <v>-54414709.747663334</v>
          </cell>
        </row>
        <row r="94">
          <cell r="K94">
            <v>-43962159.629471831</v>
          </cell>
        </row>
        <row r="95">
          <cell r="K95">
            <v>118411700.50426938</v>
          </cell>
        </row>
        <row r="96">
          <cell r="K96">
            <v>2194629.0874587744</v>
          </cell>
        </row>
        <row r="97">
          <cell r="K97">
            <v>1045114.9578017632</v>
          </cell>
        </row>
      </sheetData>
      <sheetData sheetId="8">
        <row r="87">
          <cell r="K87">
            <v>-27489157.280445568</v>
          </cell>
        </row>
        <row r="88">
          <cell r="K88">
            <v>13238545.124742994</v>
          </cell>
        </row>
        <row r="89">
          <cell r="K89">
            <v>3897109.4569955315</v>
          </cell>
        </row>
        <row r="90">
          <cell r="K90">
            <v>5040694.8303173883</v>
          </cell>
        </row>
        <row r="91">
          <cell r="K91">
            <v>1362569.9339174088</v>
          </cell>
        </row>
        <row r="92">
          <cell r="K92">
            <v>-608540.25141308084</v>
          </cell>
        </row>
        <row r="93">
          <cell r="K93">
            <v>-13571.461225449015</v>
          </cell>
        </row>
        <row r="94">
          <cell r="K94">
            <v>-15958.725158601126</v>
          </cell>
        </row>
        <row r="95">
          <cell r="K95">
            <v>-2790570.9800052587</v>
          </cell>
        </row>
        <row r="96">
          <cell r="K96">
            <v>34608.778148432939</v>
          </cell>
        </row>
        <row r="97">
          <cell r="K97">
            <v>24445.469971571831</v>
          </cell>
        </row>
      </sheetData>
      <sheetData sheetId="9"/>
      <sheetData sheetId="10">
        <row r="87">
          <cell r="I87">
            <v>-60947931.17589581</v>
          </cell>
        </row>
        <row r="88">
          <cell r="I88">
            <v>-3995587.7110907305</v>
          </cell>
        </row>
        <row r="89">
          <cell r="I89">
            <v>-3626215.8208326292</v>
          </cell>
        </row>
        <row r="90">
          <cell r="I90">
            <v>-4514361.8760722745</v>
          </cell>
        </row>
        <row r="91">
          <cell r="I91">
            <v>-3058579.7330673807</v>
          </cell>
        </row>
        <row r="92">
          <cell r="I92">
            <v>60575801.350043528</v>
          </cell>
        </row>
        <row r="93">
          <cell r="I93">
            <v>-18195985.816810731</v>
          </cell>
        </row>
        <row r="94">
          <cell r="I94">
            <v>-466218.7282230744</v>
          </cell>
        </row>
        <row r="95">
          <cell r="I95">
            <v>-3318219.4393723644</v>
          </cell>
        </row>
        <row r="96">
          <cell r="I96">
            <v>-18312.921841427553</v>
          </cell>
        </row>
        <row r="97">
          <cell r="I97">
            <v>-13583.234429711969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te Current"/>
      <sheetName val="Instate Proposed"/>
      <sheetName val="Sheet3"/>
      <sheetName val="Out of State"/>
      <sheetName val="Sheet2"/>
    </sheetNames>
    <sheetDataSet>
      <sheetData sheetId="0"/>
      <sheetData sheetId="1"/>
      <sheetData sheetId="2">
        <row r="6">
          <cell r="B6">
            <v>-605082.75460369675</v>
          </cell>
          <cell r="C6">
            <v>-2950356.6986059491</v>
          </cell>
          <cell r="D6">
            <v>-2717758.0358952591</v>
          </cell>
        </row>
        <row r="7">
          <cell r="B7">
            <v>-917625.35323494859</v>
          </cell>
          <cell r="C7">
            <v>-4474300.5599301159</v>
          </cell>
          <cell r="D7">
            <v>-5543556.1637371369</v>
          </cell>
        </row>
        <row r="8">
          <cell r="B8">
            <v>-811553.4008940123</v>
          </cell>
          <cell r="C8">
            <v>-3957098.4206487518</v>
          </cell>
          <cell r="D8">
            <v>723918.54525856161</v>
          </cell>
        </row>
        <row r="9">
          <cell r="B9">
            <v>-689876.42485036212</v>
          </cell>
          <cell r="C9">
            <v>-3363806.8772934629</v>
          </cell>
          <cell r="D9">
            <v>2555780.7807027879</v>
          </cell>
        </row>
        <row r="10">
          <cell r="B10">
            <v>-670327.20063524833</v>
          </cell>
          <cell r="C10">
            <v>-3268485.7262991853</v>
          </cell>
          <cell r="D10">
            <v>176487.66463285731</v>
          </cell>
        </row>
        <row r="11">
          <cell r="B11">
            <v>-954253.01664632431</v>
          </cell>
          <cell r="C11">
            <v>-4652895.4236538671</v>
          </cell>
          <cell r="D11">
            <v>9413771.2593123354</v>
          </cell>
        </row>
        <row r="12">
          <cell r="B12">
            <v>-349507.81384754693</v>
          </cell>
          <cell r="C12">
            <v>-1704184.6126908783</v>
          </cell>
          <cell r="D12">
            <v>-1636286.6173306927</v>
          </cell>
        </row>
        <row r="13">
          <cell r="B13">
            <v>-4616.5393378730951</v>
          </cell>
          <cell r="C13">
            <v>-22510.041240214487</v>
          </cell>
          <cell r="D13">
            <v>-960313.75393639295</v>
          </cell>
        </row>
        <row r="14">
          <cell r="B14">
            <v>-5763.9053935086049</v>
          </cell>
          <cell r="C14">
            <v>-28104.547284622153</v>
          </cell>
          <cell r="D14">
            <v>3999.8476621636073</v>
          </cell>
        </row>
        <row r="15">
          <cell r="B15">
            <v>-5681.8868143143991</v>
          </cell>
          <cell r="C15">
            <v>-27704.628326934762</v>
          </cell>
          <cell r="D15">
            <v>563.03569060243899</v>
          </cell>
        </row>
        <row r="16">
          <cell r="B16">
            <v>-5285.0118487348955</v>
          </cell>
          <cell r="C16">
            <v>-25769.483581364533</v>
          </cell>
          <cell r="D16">
            <v>-369.52603795361938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Cost Proposed"/>
      <sheetName val="Reporting Cost Current"/>
      <sheetName val="Sheet2"/>
      <sheetName val="Sheet3"/>
    </sheetNames>
    <sheetDataSet>
      <sheetData sheetId="0">
        <row r="20">
          <cell r="J20">
            <v>16607.142857142841</v>
          </cell>
        </row>
        <row r="21">
          <cell r="J21">
            <v>15816.326530612307</v>
          </cell>
        </row>
        <row r="22">
          <cell r="J22">
            <v>15063.168124392629</v>
          </cell>
        </row>
        <row r="23">
          <cell r="J23">
            <v>14345.874404183473</v>
          </cell>
        </row>
        <row r="24">
          <cell r="J24">
            <v>13662.737527793855</v>
          </cell>
        </row>
        <row r="25">
          <cell r="J25">
            <v>37399.382910181972</v>
          </cell>
        </row>
        <row r="26">
          <cell r="J26">
            <v>35618.459914459032</v>
          </cell>
        </row>
        <row r="27">
          <cell r="J27">
            <v>33922.342775675264</v>
          </cell>
        </row>
        <row r="28">
          <cell r="J28">
            <v>63489.949441726676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C18" sqref="C18"/>
    </sheetView>
  </sheetViews>
  <sheetFormatPr defaultColWidth="9.140625" defaultRowHeight="12.75" x14ac:dyDescent="0.2"/>
  <cols>
    <col min="1" max="2" width="11.7109375" style="1" customWidth="1"/>
    <col min="3" max="3" width="10.7109375" style="1" bestFit="1" customWidth="1"/>
    <col min="4" max="4" width="15.85546875" style="1" bestFit="1" customWidth="1"/>
    <col min="5" max="12" width="22" style="1" customWidth="1"/>
    <col min="13" max="16384" width="9.140625" style="1"/>
  </cols>
  <sheetData>
    <row r="1" spans="1:4" ht="32.25" customHeight="1" thickBot="1" x14ac:dyDescent="0.25">
      <c r="A1" s="1" t="s">
        <v>18</v>
      </c>
    </row>
    <row r="2" spans="1:4" ht="47.25" x14ac:dyDescent="0.25">
      <c r="A2" s="21" t="s">
        <v>0</v>
      </c>
      <c r="B2" s="22" t="s">
        <v>19</v>
      </c>
      <c r="C2" s="21" t="s">
        <v>17</v>
      </c>
      <c r="D2" s="23" t="s">
        <v>16</v>
      </c>
    </row>
    <row r="3" spans="1:4" ht="15" x14ac:dyDescent="0.2">
      <c r="A3" s="2">
        <v>2015</v>
      </c>
      <c r="B3" s="3">
        <f>ROUND('Yearly Summary'!J5,-6)/1000000</f>
        <v>-43</v>
      </c>
      <c r="C3" s="3">
        <f>ROUND('Yearly Summary'!O5,-6)/1000000</f>
        <v>-6</v>
      </c>
      <c r="D3" s="20">
        <f>ROUND('Yearly Summary'!P5,-6)/1000000</f>
        <v>-49</v>
      </c>
    </row>
    <row r="4" spans="1:4" ht="15" x14ac:dyDescent="0.2">
      <c r="A4" s="2">
        <v>2016</v>
      </c>
      <c r="B4" s="3">
        <f>ROUND('Yearly Summary'!J6,-6)/1000000</f>
        <v>-105</v>
      </c>
      <c r="C4" s="3">
        <f>ROUND('Yearly Summary'!O6,-6)/1000000</f>
        <v>-11</v>
      </c>
      <c r="D4" s="20">
        <f>ROUND('Yearly Summary'!P6,-6)/1000000</f>
        <v>-116</v>
      </c>
    </row>
    <row r="5" spans="1:4" ht="15" x14ac:dyDescent="0.2">
      <c r="A5" s="2">
        <v>2017</v>
      </c>
      <c r="B5" s="3">
        <f>ROUND('Yearly Summary'!J7,-6)/1000000</f>
        <v>-103</v>
      </c>
      <c r="C5" s="3">
        <f>ROUND('Yearly Summary'!O7,-6)/1000000</f>
        <v>-4</v>
      </c>
      <c r="D5" s="20">
        <f>ROUND('Yearly Summary'!P7,-6)/1000000</f>
        <v>-107</v>
      </c>
    </row>
    <row r="6" spans="1:4" ht="15" x14ac:dyDescent="0.2">
      <c r="A6" s="2">
        <v>2018</v>
      </c>
      <c r="B6" s="3">
        <f>ROUND('Yearly Summary'!J8,-6)/1000000</f>
        <v>-70</v>
      </c>
      <c r="C6" s="3">
        <f>ROUND('Yearly Summary'!O8,-6)/1000000</f>
        <v>-1</v>
      </c>
      <c r="D6" s="20">
        <f>ROUND('Yearly Summary'!P8,-6)/1000000</f>
        <v>-71</v>
      </c>
    </row>
    <row r="7" spans="1:4" ht="15" x14ac:dyDescent="0.2">
      <c r="A7" s="2">
        <v>2019</v>
      </c>
      <c r="B7" s="3">
        <f>ROUND('Yearly Summary'!J9,-6)/1000000</f>
        <v>-54</v>
      </c>
      <c r="C7" s="3">
        <f>ROUND('Yearly Summary'!O9,-6)/1000000</f>
        <v>-4</v>
      </c>
      <c r="D7" s="20">
        <f>ROUND('Yearly Summary'!P9,-6)/1000000</f>
        <v>-58</v>
      </c>
    </row>
    <row r="8" spans="1:4" ht="15" x14ac:dyDescent="0.2">
      <c r="A8" s="2">
        <v>2020</v>
      </c>
      <c r="B8" s="3">
        <f>ROUND('Yearly Summary'!J10,-6)/1000000</f>
        <v>-9</v>
      </c>
      <c r="C8" s="3">
        <f>ROUND('Yearly Summary'!O10,-6)/1000000</f>
        <v>4</v>
      </c>
      <c r="D8" s="20">
        <f>ROUND('Yearly Summary'!P10,-6)/1000000</f>
        <v>-5</v>
      </c>
    </row>
    <row r="9" spans="1:4" ht="15" x14ac:dyDescent="0.2">
      <c r="A9" s="2">
        <v>2021</v>
      </c>
      <c r="B9" s="3">
        <f>ROUND('Yearly Summary'!J11,-6)/1000000</f>
        <v>-2</v>
      </c>
      <c r="C9" s="3">
        <f>ROUND('Yearly Summary'!O11,-6)/1000000</f>
        <v>-4</v>
      </c>
      <c r="D9" s="20">
        <f>ROUND('Yearly Summary'!P11,-6)/1000000</f>
        <v>-5</v>
      </c>
    </row>
    <row r="10" spans="1:4" ht="15" x14ac:dyDescent="0.2">
      <c r="A10" s="2">
        <v>2022</v>
      </c>
      <c r="B10" s="3">
        <f>ROUND('Yearly Summary'!J12,-6)/1000000</f>
        <v>-19</v>
      </c>
      <c r="C10" s="3">
        <f>ROUND('Yearly Summary'!O12,-6)/1000000</f>
        <v>-1</v>
      </c>
      <c r="D10" s="20">
        <f>ROUND('Yearly Summary'!P12,-6)/1000000</f>
        <v>-20</v>
      </c>
    </row>
    <row r="11" spans="1:4" ht="15" x14ac:dyDescent="0.2">
      <c r="A11" s="2">
        <v>2023</v>
      </c>
      <c r="B11" s="3">
        <f>ROUND('Yearly Summary'!J13,-6)/1000000</f>
        <v>-4</v>
      </c>
      <c r="C11" s="3">
        <f>ROUND('Yearly Summary'!O13,-6)/1000000</f>
        <v>0</v>
      </c>
      <c r="D11" s="20">
        <f>ROUND('Yearly Summary'!P13,-6)/1000000</f>
        <v>-4</v>
      </c>
    </row>
    <row r="12" spans="1:4" ht="15" x14ac:dyDescent="0.2">
      <c r="A12" s="2">
        <v>2024</v>
      </c>
      <c r="B12" s="3">
        <f>ROUND('Yearly Summary'!J14,-6)/1000000</f>
        <v>13</v>
      </c>
      <c r="C12" s="3">
        <f>ROUND('Yearly Summary'!O14,-6)/1000000</f>
        <v>0</v>
      </c>
      <c r="D12" s="20">
        <f>ROUND('Yearly Summary'!P14,-6)/1000000</f>
        <v>13</v>
      </c>
    </row>
    <row r="13" spans="1:4" ht="15" x14ac:dyDescent="0.2">
      <c r="A13" s="2">
        <v>2025</v>
      </c>
      <c r="B13" s="3">
        <f>ROUND('Yearly Summary'!J15,-6)/1000000</f>
        <v>4</v>
      </c>
      <c r="C13" s="3">
        <f>ROUND('Yearly Summary'!O15,-6)/1000000</f>
        <v>0</v>
      </c>
      <c r="D13" s="20">
        <f>ROUND('Yearly Summary'!P15,-6)/1000000</f>
        <v>4</v>
      </c>
    </row>
    <row r="14" spans="1:4" ht="15.75" x14ac:dyDescent="0.25">
      <c r="A14" s="4" t="s">
        <v>6</v>
      </c>
      <c r="B14" s="3">
        <f>ROUND('Yearly Summary'!J16,-6)/1000000</f>
        <v>-393</v>
      </c>
      <c r="C14" s="3">
        <f>ROUND('Yearly Summary'!O16,-6)/1000000</f>
        <v>-27</v>
      </c>
      <c r="D14" s="20">
        <f>ROUND('Yearly Summary'!P16,-6)/1000000</f>
        <v>-420</v>
      </c>
    </row>
  </sheetData>
  <pageMargins left="0.2" right="0.2" top="0.25" bottom="0.25" header="0.3" footer="0.3"/>
  <pageSetup paperSize="3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topLeftCell="K1" zoomScaleNormal="100" workbookViewId="0">
      <selection activeCell="P2" sqref="P2:P3"/>
    </sheetView>
  </sheetViews>
  <sheetFormatPr defaultColWidth="9.140625" defaultRowHeight="12.75" x14ac:dyDescent="0.2"/>
  <cols>
    <col min="1" max="1" width="9.140625" style="1"/>
    <col min="2" max="2" width="18.85546875" style="1" bestFit="1" customWidth="1"/>
    <col min="3" max="3" width="16.85546875" style="1" bestFit="1" customWidth="1"/>
    <col min="4" max="5" width="16.140625" style="1" bestFit="1" customWidth="1"/>
    <col min="6" max="6" width="15.5703125" style="1" bestFit="1" customWidth="1"/>
    <col min="7" max="7" width="19.28515625" style="1" customWidth="1"/>
    <col min="8" max="8" width="20.85546875" style="1" hidden="1" customWidth="1"/>
    <col min="9" max="9" width="16.85546875" style="1" customWidth="1"/>
    <col min="10" max="10" width="18.85546875" style="1" customWidth="1"/>
    <col min="11" max="12" width="15.5703125" style="1" bestFit="1" customWidth="1"/>
    <col min="13" max="13" width="15.28515625" style="1" bestFit="1" customWidth="1"/>
    <col min="14" max="14" width="12.140625" style="1" bestFit="1" customWidth="1"/>
    <col min="15" max="15" width="16.85546875" style="1" bestFit="1" customWidth="1"/>
    <col min="16" max="16" width="20.5703125" style="1" customWidth="1"/>
    <col min="17" max="19" width="16.85546875" style="1" bestFit="1" customWidth="1"/>
    <col min="20" max="20" width="10.42578125" style="1" hidden="1" customWidth="1"/>
    <col min="21" max="22" width="9.140625" style="1" hidden="1" customWidth="1"/>
    <col min="23" max="16384" width="9.140625" style="1"/>
  </cols>
  <sheetData>
    <row r="1" spans="1:22" ht="24" customHeight="1" thickBot="1" x14ac:dyDescent="0.4">
      <c r="A1" s="24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2" ht="59.25" customHeight="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23</v>
      </c>
      <c r="H2" s="31" t="s">
        <v>15</v>
      </c>
      <c r="I2" s="33" t="str">
        <f>"@"&amp; I18*100 &amp;"% Capital Recovery Rate"</f>
        <v>@7% Capital Recovery Rate</v>
      </c>
      <c r="J2" s="33" t="s">
        <v>20</v>
      </c>
      <c r="K2" s="30" t="s">
        <v>7</v>
      </c>
      <c r="L2" s="30" t="s">
        <v>8</v>
      </c>
      <c r="M2" s="30" t="s">
        <v>10</v>
      </c>
      <c r="N2" s="30" t="s">
        <v>9</v>
      </c>
      <c r="O2" s="42" t="s">
        <v>22</v>
      </c>
      <c r="P2" s="43" t="s">
        <v>14</v>
      </c>
      <c r="Q2" s="38" t="s">
        <v>25</v>
      </c>
      <c r="R2" s="37"/>
      <c r="S2" s="35" t="s">
        <v>21</v>
      </c>
    </row>
    <row r="3" spans="1:22" s="14" customFormat="1" ht="19.5" customHeight="1" x14ac:dyDescent="0.2">
      <c r="A3" s="30"/>
      <c r="B3" s="30"/>
      <c r="C3" s="30"/>
      <c r="D3" s="30"/>
      <c r="E3" s="30"/>
      <c r="F3" s="30"/>
      <c r="G3" s="30"/>
      <c r="H3" s="32"/>
      <c r="I3" s="34"/>
      <c r="J3" s="34"/>
      <c r="K3" s="30"/>
      <c r="L3" s="30"/>
      <c r="M3" s="30"/>
      <c r="N3" s="30"/>
      <c r="O3" s="42"/>
      <c r="P3" s="44"/>
      <c r="Q3" s="39" t="s">
        <v>26</v>
      </c>
      <c r="R3" s="30" t="s">
        <v>27</v>
      </c>
      <c r="S3" s="36"/>
      <c r="T3" s="15" t="s">
        <v>11</v>
      </c>
      <c r="U3" s="13" t="s">
        <v>12</v>
      </c>
      <c r="V3" s="25" t="s">
        <v>13</v>
      </c>
    </row>
    <row r="4" spans="1:22" ht="15" hidden="1" x14ac:dyDescent="0.2">
      <c r="A4" s="2">
        <v>2014</v>
      </c>
      <c r="B4" s="3"/>
      <c r="C4" s="3"/>
      <c r="D4" s="3"/>
      <c r="E4" s="3"/>
      <c r="F4" s="5"/>
      <c r="G4" s="3"/>
      <c r="H4" s="7"/>
      <c r="I4" s="10"/>
      <c r="J4" s="3"/>
      <c r="K4" s="6"/>
      <c r="L4" s="3"/>
      <c r="M4" s="3"/>
      <c r="N4" s="5"/>
      <c r="O4" s="5"/>
      <c r="P4" s="7"/>
      <c r="Q4" s="39"/>
      <c r="R4" s="30"/>
      <c r="S4" s="26"/>
      <c r="T4" s="16">
        <v>0.5</v>
      </c>
      <c r="U4" s="9">
        <v>0.25</v>
      </c>
      <c r="V4" s="28">
        <v>0.25</v>
      </c>
    </row>
    <row r="5" spans="1:22" ht="15" x14ac:dyDescent="0.2">
      <c r="A5" s="2">
        <v>2015</v>
      </c>
      <c r="B5" s="3">
        <f>'[1]Instate Large Fleets Heavy New'!K87</f>
        <v>-44390002.877843015</v>
      </c>
      <c r="C5" s="3">
        <f>'[1]Instate Small Fleets Heavy New'!K87</f>
        <v>-502122949.08115566</v>
      </c>
      <c r="D5" s="3">
        <f>'[1]Instate Fleets Light'!I87</f>
        <v>-60947931.17589581</v>
      </c>
      <c r="E5" s="3">
        <f>'[1]OOS Large Fleets Heavy'!K87</f>
        <v>20164115.872170143</v>
      </c>
      <c r="F5" s="5">
        <f>'[1]OOS Small Fleets Heavy'!K87</f>
        <v>-27489157.280445568</v>
      </c>
      <c r="G5" s="3">
        <f t="shared" ref="G5:G15" si="0">SUM(B5:F5)</f>
        <v>-614785924.54316998</v>
      </c>
      <c r="H5" s="7">
        <f t="shared" ref="H5:H15" si="1">G5*(1+$A$19)^(A5-$A$4)</f>
        <v>-645525220.77032852</v>
      </c>
      <c r="I5" s="5">
        <f>(H5+H4*(1+$I$18)^($A5-$A$4))*$I$18</f>
        <v>-45186765.453923002</v>
      </c>
      <c r="J5" s="3">
        <f t="shared" ref="J5:J15" si="2">I5/(1+$A$19)^(A5-$A$4)</f>
        <v>-43035014.718021907</v>
      </c>
      <c r="K5" s="6">
        <f>[2]Sheet3!B6</f>
        <v>-605082.75460369675</v>
      </c>
      <c r="L5" s="6">
        <f>[2]Sheet3!C6</f>
        <v>-2950356.6986059491</v>
      </c>
      <c r="M5" s="6">
        <f>[2]Sheet3!D6</f>
        <v>-2717758.0358952591</v>
      </c>
      <c r="N5" s="5">
        <f>'[3]Reporting Cost Proposed'!J20</f>
        <v>16607.142857142841</v>
      </c>
      <c r="O5" s="5">
        <f t="shared" ref="O5:O15" si="3">SUM(K5:N5)</f>
        <v>-6256590.3462477624</v>
      </c>
      <c r="P5" s="7">
        <f t="shared" ref="P5:P15" si="4">J5+O5</f>
        <v>-49291605.064269669</v>
      </c>
      <c r="Q5" s="40">
        <f>[1]Summary!$Z$4</f>
        <v>-24434305.159846373</v>
      </c>
      <c r="R5" s="3">
        <f>[1]Summary!AA4</f>
        <v>-590351619.38332355</v>
      </c>
      <c r="S5" s="26">
        <f t="shared" ref="S5:S15" si="5">O5+G5</f>
        <v>-621042514.88941777</v>
      </c>
      <c r="T5" s="16">
        <v>0.5</v>
      </c>
      <c r="U5" s="9">
        <v>0.25</v>
      </c>
      <c r="V5" s="28">
        <v>0.25</v>
      </c>
    </row>
    <row r="6" spans="1:22" ht="15" x14ac:dyDescent="0.2">
      <c r="A6" s="2">
        <v>2016</v>
      </c>
      <c r="B6" s="3">
        <f>'[1]Instate Large Fleets Heavy New'!K88</f>
        <v>-696772122.74595118</v>
      </c>
      <c r="C6" s="3">
        <f>'[1]Instate Small Fleets Heavy New'!K88</f>
        <v>-167070886.88307464</v>
      </c>
      <c r="D6" s="3">
        <f>'[1]Instate Fleets Light'!I88</f>
        <v>-3995587.7110907305</v>
      </c>
      <c r="E6" s="3">
        <f>'[1]OOS Large Fleets Heavy'!K88</f>
        <v>24288752.43219677</v>
      </c>
      <c r="F6" s="5">
        <f>'[1]OOS Small Fleets Heavy'!K88</f>
        <v>13238545.124742994</v>
      </c>
      <c r="G6" s="3">
        <f t="shared" si="0"/>
        <v>-830311299.78317678</v>
      </c>
      <c r="H6" s="7">
        <f t="shared" si="1"/>
        <v>-915418208.01095247</v>
      </c>
      <c r="I6" s="5">
        <f>(H6+H5*(1+$I$18)^($A6-$A$4)+H4*(1+$I$18)^($A5-$A$4))*$I$18</f>
        <v>-115813602.32896313</v>
      </c>
      <c r="J6" s="3">
        <f t="shared" si="2"/>
        <v>-105046351.31878741</v>
      </c>
      <c r="K6" s="6">
        <f>[2]Sheet3!B7</f>
        <v>-917625.35323494859</v>
      </c>
      <c r="L6" s="6">
        <f>[2]Sheet3!C7</f>
        <v>-4474300.5599301159</v>
      </c>
      <c r="M6" s="6">
        <f>[2]Sheet3!D7</f>
        <v>-5543556.1637371369</v>
      </c>
      <c r="N6" s="5">
        <f>'[3]Reporting Cost Proposed'!J21</f>
        <v>15816.326530612307</v>
      </c>
      <c r="O6" s="5">
        <f t="shared" si="3"/>
        <v>-10919665.750371588</v>
      </c>
      <c r="P6" s="7">
        <f t="shared" si="4"/>
        <v>-115966017.069159</v>
      </c>
      <c r="Q6" s="40">
        <f>[1]Summary!$Z$5</f>
        <v>-52266717.847254612</v>
      </c>
      <c r="R6" s="3">
        <f>[1]Summary!AA5</f>
        <v>-778044581.93592215</v>
      </c>
      <c r="S6" s="26">
        <f t="shared" si="5"/>
        <v>-841230965.53354836</v>
      </c>
      <c r="T6" s="16">
        <v>0.5</v>
      </c>
      <c r="U6" s="9">
        <v>0.25</v>
      </c>
      <c r="V6" s="28">
        <v>0.25</v>
      </c>
    </row>
    <row r="7" spans="1:22" ht="15" x14ac:dyDescent="0.2">
      <c r="A7" s="2">
        <v>2017</v>
      </c>
      <c r="B7" s="3">
        <f>'[1]Instate Large Fleets Heavy New'!K89</f>
        <v>70285496.282210216</v>
      </c>
      <c r="C7" s="3">
        <f>'[1]Instate Small Fleets Heavy New'!K89</f>
        <v>35201976.044870399</v>
      </c>
      <c r="D7" s="3">
        <f>'[1]Instate Fleets Light'!I89</f>
        <v>-3626215.8208326292</v>
      </c>
      <c r="E7" s="3">
        <f>'[1]OOS Large Fleets Heavy'!K89</f>
        <v>24488258.111165505</v>
      </c>
      <c r="F7" s="5">
        <f>'[1]OOS Small Fleets Heavy'!K89</f>
        <v>3897109.4569955315</v>
      </c>
      <c r="G7" s="3">
        <f t="shared" si="0"/>
        <v>130246624.07440902</v>
      </c>
      <c r="H7" s="7">
        <f t="shared" si="1"/>
        <v>150776748.19413775</v>
      </c>
      <c r="I7" s="5">
        <f>(H7+H6*(1+$I$18)^($A7-$A$4)+H5*(1+$I$18)^($A6-$A$4)+H4*(1+$I$18)^($A5-$A$4))*$I$18</f>
        <v>-119679822.1403521</v>
      </c>
      <c r="J7" s="3">
        <f t="shared" si="2"/>
        <v>-103383930.15039593</v>
      </c>
      <c r="K7" s="6">
        <f>[2]Sheet3!B8</f>
        <v>-811553.4008940123</v>
      </c>
      <c r="L7" s="6">
        <f>[2]Sheet3!C8</f>
        <v>-3957098.4206487518</v>
      </c>
      <c r="M7" s="6">
        <f>[2]Sheet3!D8</f>
        <v>723918.54525856161</v>
      </c>
      <c r="N7" s="5">
        <f>'[3]Reporting Cost Proposed'!J22</f>
        <v>15063.168124392629</v>
      </c>
      <c r="O7" s="5">
        <f t="shared" si="3"/>
        <v>-4029670.1081598098</v>
      </c>
      <c r="P7" s="7">
        <f t="shared" si="4"/>
        <v>-107413600.25855574</v>
      </c>
      <c r="Q7" s="40">
        <f>[1]Summary!$Z$6</f>
        <v>11451583.313503854</v>
      </c>
      <c r="R7" s="3">
        <f>[1]Summary!AA6</f>
        <v>118795040.76090516</v>
      </c>
      <c r="S7" s="26">
        <f t="shared" si="5"/>
        <v>126216953.96624921</v>
      </c>
      <c r="T7" s="16">
        <v>0.5</v>
      </c>
      <c r="U7" s="9">
        <v>0.25</v>
      </c>
      <c r="V7" s="28">
        <v>0.25</v>
      </c>
    </row>
    <row r="8" spans="1:22" ht="15" x14ac:dyDescent="0.2">
      <c r="A8" s="2">
        <v>2018</v>
      </c>
      <c r="B8" s="3">
        <f>'[1]Instate Large Fleets Heavy New'!K90</f>
        <v>208810371.21273869</v>
      </c>
      <c r="C8" s="3">
        <f>'[1]Instate Small Fleets Heavy New'!K90</f>
        <v>141436968.53429025</v>
      </c>
      <c r="D8" s="3">
        <f>'[1]Instate Fleets Light'!I90</f>
        <v>-4514361.8760722745</v>
      </c>
      <c r="E8" s="3">
        <f>'[1]OOS Large Fleets Heavy'!K90</f>
        <v>18942003.234494288</v>
      </c>
      <c r="F8" s="5">
        <f>'[1]OOS Small Fleets Heavy'!K90</f>
        <v>5040694.8303173883</v>
      </c>
      <c r="G8" s="3">
        <f t="shared" si="0"/>
        <v>369715675.93576831</v>
      </c>
      <c r="H8" s="7">
        <f t="shared" si="1"/>
        <v>449391714.82290095</v>
      </c>
      <c r="I8" s="5">
        <f>(H8+H7*(1+$I$18)^($A8-$A$4)+H6*(1+$I$18)^($A7-$A$4)+H5*(1+$I$18)^($A6-$A$4)+H4*(1+$I$18)^($A5-$A$4))*$I$18</f>
        <v>-84942145.28098315</v>
      </c>
      <c r="J8" s="3">
        <f t="shared" si="2"/>
        <v>-69882113.136796415</v>
      </c>
      <c r="K8" s="6">
        <f>[2]Sheet3!B9</f>
        <v>-689876.42485036212</v>
      </c>
      <c r="L8" s="6">
        <f>[2]Sheet3!C9</f>
        <v>-3363806.8772934629</v>
      </c>
      <c r="M8" s="6">
        <f>[2]Sheet3!D9</f>
        <v>2555780.7807027879</v>
      </c>
      <c r="N8" s="5">
        <f>'[3]Reporting Cost Proposed'!J23</f>
        <v>14345.874404183473</v>
      </c>
      <c r="O8" s="5">
        <f t="shared" si="3"/>
        <v>-1483556.6470368537</v>
      </c>
      <c r="P8" s="7">
        <f t="shared" si="4"/>
        <v>-71365669.783833265</v>
      </c>
      <c r="Q8" s="40">
        <f>[1]Summary!$Z$7</f>
        <v>0</v>
      </c>
      <c r="R8" s="3">
        <f>[1]Summary!AA7</f>
        <v>369715675.93576831</v>
      </c>
      <c r="S8" s="26">
        <f t="shared" si="5"/>
        <v>368232119.28873146</v>
      </c>
      <c r="T8" s="16">
        <v>0.5</v>
      </c>
      <c r="U8" s="9">
        <v>0.25</v>
      </c>
      <c r="V8" s="28">
        <v>0.25</v>
      </c>
    </row>
    <row r="9" spans="1:22" ht="15" x14ac:dyDescent="0.2">
      <c r="A9" s="2">
        <v>2019</v>
      </c>
      <c r="B9" s="3">
        <f>'[1]Instate Large Fleets Heavy New'!K91</f>
        <v>12837196.346098322</v>
      </c>
      <c r="C9" s="3">
        <f>'[1]Instate Small Fleets Heavy New'!K91</f>
        <v>9047251.8339337446</v>
      </c>
      <c r="D9" s="3">
        <f>'[1]Instate Fleets Light'!I91</f>
        <v>-3058579.7330673807</v>
      </c>
      <c r="E9" s="3">
        <f>'[1]OOS Large Fleets Heavy'!K91</f>
        <v>14800989.411384288</v>
      </c>
      <c r="F9" s="5">
        <f>'[1]OOS Small Fleets Heavy'!K91</f>
        <v>1362569.9339174088</v>
      </c>
      <c r="G9" s="3">
        <f t="shared" si="0"/>
        <v>34989427.792266384</v>
      </c>
      <c r="H9" s="7">
        <f t="shared" si="1"/>
        <v>44656361.573694669</v>
      </c>
      <c r="I9" s="5">
        <f>(H9+H8*(1+$I$18)^($A9-$A$4)+H7*(1+$I$18)^($A8-$A$4)+H6*(1+$I$18)^($A7-$A$4)+H5*(1+$I$18)^($A6-$A$4)+H4*(1+$I$18)^($A5-$A$4))*$I$18</f>
        <v>-69152961.091330528</v>
      </c>
      <c r="J9" s="3">
        <f t="shared" si="2"/>
        <v>-54183154.503832705</v>
      </c>
      <c r="K9" s="6">
        <f>[2]Sheet3!B10</f>
        <v>-670327.20063524833</v>
      </c>
      <c r="L9" s="6">
        <f>[2]Sheet3!C10</f>
        <v>-3268485.7262991853</v>
      </c>
      <c r="M9" s="6">
        <f>[2]Sheet3!D10</f>
        <v>176487.66463285731</v>
      </c>
      <c r="N9" s="5">
        <f>'[3]Reporting Cost Proposed'!J24</f>
        <v>13662.737527793855</v>
      </c>
      <c r="O9" s="5">
        <f t="shared" si="3"/>
        <v>-3748662.5247737826</v>
      </c>
      <c r="P9" s="7">
        <f t="shared" si="4"/>
        <v>-57931817.028606489</v>
      </c>
      <c r="Q9" s="40">
        <f>[1]Summary!$Z$8</f>
        <v>85340.029176691591</v>
      </c>
      <c r="R9" s="3">
        <f>[1]Summary!AA8</f>
        <v>34904087.763089694</v>
      </c>
      <c r="S9" s="26">
        <f t="shared" si="5"/>
        <v>31240765.2674926</v>
      </c>
      <c r="T9" s="16">
        <v>0.5</v>
      </c>
      <c r="U9" s="9">
        <v>0.25</v>
      </c>
      <c r="V9" s="28">
        <v>0.25</v>
      </c>
    </row>
    <row r="10" spans="1:22" ht="15" x14ac:dyDescent="0.2">
      <c r="A10" s="2">
        <v>2020</v>
      </c>
      <c r="B10" s="3">
        <f>'[1]Instate Large Fleets Heavy New'!K92</f>
        <v>266796755.05753043</v>
      </c>
      <c r="C10" s="3">
        <f>'[1]Instate Small Fleets Heavy New'!K92</f>
        <v>324665520.64496881</v>
      </c>
      <c r="D10" s="3">
        <f>'[1]Instate Fleets Light'!I92</f>
        <v>60575801.350043528</v>
      </c>
      <c r="E10" s="3">
        <f>'[1]OOS Large Fleets Heavy'!K92</f>
        <v>-55070356.149943985</v>
      </c>
      <c r="F10" s="5">
        <f>'[1]OOS Small Fleets Heavy'!K92</f>
        <v>-608540.25141308084</v>
      </c>
      <c r="G10" s="3">
        <f t="shared" si="0"/>
        <v>596359180.65118575</v>
      </c>
      <c r="H10" s="7">
        <f t="shared" si="1"/>
        <v>799178338.23735082</v>
      </c>
      <c r="I10" s="5">
        <f>(H10+H9*(1+$I$18)^($A10-$A$4)+H8*(1+$I$18)^($A9-$A$4)+H7*(1+$I$18)^($A8-$A$4)+H6*(1+$I$18)^($A7-$A$4)+H5*(1+$I$18)^($A6-$A$4)+H4*(1+$I$18)^($A5-$A$4))*$I$18</f>
        <v>-11645221.719699509</v>
      </c>
      <c r="J10" s="3">
        <f t="shared" si="2"/>
        <v>-8689843.7444870416</v>
      </c>
      <c r="K10" s="6">
        <f>[2]Sheet3!B11</f>
        <v>-954253.01664632431</v>
      </c>
      <c r="L10" s="6">
        <f>[2]Sheet3!C11</f>
        <v>-4652895.4236538671</v>
      </c>
      <c r="M10" s="6">
        <f>[2]Sheet3!D11</f>
        <v>9413771.2593123354</v>
      </c>
      <c r="N10" s="5">
        <f>'[3]Reporting Cost Proposed'!J25</f>
        <v>37399.382910181972</v>
      </c>
      <c r="O10" s="5">
        <f t="shared" si="3"/>
        <v>3844022.2019223254</v>
      </c>
      <c r="P10" s="7">
        <f t="shared" si="4"/>
        <v>-4845821.5425647162</v>
      </c>
      <c r="Q10" s="40">
        <f>[1]Summary!$Z$9</f>
        <v>0</v>
      </c>
      <c r="R10" s="3">
        <f>[1]Summary!AA9</f>
        <v>596359180.65118575</v>
      </c>
      <c r="S10" s="26">
        <f t="shared" si="5"/>
        <v>600203202.85310805</v>
      </c>
      <c r="T10" s="16">
        <v>0.5</v>
      </c>
      <c r="U10" s="9">
        <v>0.25</v>
      </c>
      <c r="V10" s="28">
        <v>0.25</v>
      </c>
    </row>
    <row r="11" spans="1:22" ht="15" x14ac:dyDescent="0.2">
      <c r="A11" s="2">
        <v>2021</v>
      </c>
      <c r="B11" s="3">
        <f>'[1]Instate Large Fleets Heavy New'!K93</f>
        <v>-66550193.449704319</v>
      </c>
      <c r="C11" s="3">
        <f>'[1]Instate Small Fleets Heavy New'!K93</f>
        <v>-112395629.09429109</v>
      </c>
      <c r="D11" s="3">
        <f>'[1]Instate Fleets Light'!I93</f>
        <v>-18195985.816810731</v>
      </c>
      <c r="E11" s="3">
        <f>'[1]OOS Large Fleets Heavy'!K93</f>
        <v>-54414709.747663334</v>
      </c>
      <c r="F11" s="5">
        <f>'[1]OOS Small Fleets Heavy'!K93</f>
        <v>-13571.461225449015</v>
      </c>
      <c r="G11" s="3">
        <f t="shared" si="0"/>
        <v>-251570089.56969494</v>
      </c>
      <c r="H11" s="7">
        <f t="shared" si="1"/>
        <v>-353984379.36118847</v>
      </c>
      <c r="I11" s="5">
        <f>(H11+H10*(1+$I$18)^($A11-$A$4)+H9*(1+$I$18)^($A10-$A$4)+H8*(1+$I$18)^($A9-$A$4)+H7*(1+$I$18)^($A8-$A$4)+H6*(1+$I$18)^($A7-$A$4)+H5*(1+$I$18)^($A6-$A$4)+H4*(1+$I$18)^($A5-$A$4))*$I$18</f>
        <v>-2535207.9154926459</v>
      </c>
      <c r="J11" s="3">
        <f t="shared" si="2"/>
        <v>-1801724.9335387261</v>
      </c>
      <c r="K11" s="6">
        <f>[2]Sheet3!B12</f>
        <v>-349507.81384754693</v>
      </c>
      <c r="L11" s="6">
        <f>[2]Sheet3!C12</f>
        <v>-1704184.6126908783</v>
      </c>
      <c r="M11" s="6">
        <f>[2]Sheet3!D12</f>
        <v>-1636286.6173306927</v>
      </c>
      <c r="N11" s="5">
        <f>'[3]Reporting Cost Proposed'!J26</f>
        <v>35618.459914459032</v>
      </c>
      <c r="O11" s="5">
        <f t="shared" si="3"/>
        <v>-3654360.5839546593</v>
      </c>
      <c r="P11" s="7">
        <f t="shared" si="4"/>
        <v>-5456085.5174933858</v>
      </c>
      <c r="Q11" s="40">
        <f>[1]Summary!$Z$10</f>
        <v>0</v>
      </c>
      <c r="R11" s="3">
        <f>[1]Summary!AA10</f>
        <v>-251570089.56969494</v>
      </c>
      <c r="S11" s="26">
        <f t="shared" si="5"/>
        <v>-255224450.1536496</v>
      </c>
      <c r="T11" s="16">
        <v>0.5</v>
      </c>
      <c r="U11" s="9">
        <v>0.25</v>
      </c>
      <c r="V11" s="28">
        <v>0.25</v>
      </c>
    </row>
    <row r="12" spans="1:22" ht="15" x14ac:dyDescent="0.2">
      <c r="A12" s="2">
        <v>2022</v>
      </c>
      <c r="B12" s="3">
        <f>'[1]Instate Large Fleets Heavy New'!K94</f>
        <v>-12846317.493486347</v>
      </c>
      <c r="C12" s="3">
        <f>'[1]Instate Small Fleets Heavy New'!K94</f>
        <v>-19876946.373139843</v>
      </c>
      <c r="D12" s="3">
        <f>'[1]Instate Fleets Light'!I94</f>
        <v>-466218.7282230744</v>
      </c>
      <c r="E12" s="3">
        <f>'[1]OOS Large Fleets Heavy'!K94</f>
        <v>-43962159.629471831</v>
      </c>
      <c r="F12" s="5">
        <f>'[1]OOS Small Fleets Heavy'!K94</f>
        <v>-15958.725158601126</v>
      </c>
      <c r="G12" s="3">
        <f t="shared" si="0"/>
        <v>-77167600.949479699</v>
      </c>
      <c r="H12" s="7">
        <f t="shared" si="1"/>
        <v>-114011692.10695082</v>
      </c>
      <c r="I12" s="5">
        <f>(H12+H11*(1+$I$18)^($A12-$A$4)+H10*(1+$I$18)^($A11-$A$4)+H9*(1+$I$18)^($A10-$A$4)+H8*(1+$I$18)^($A9-$A$4)+H7*(1+$I$18)^($A8-$A$4)+H6*(1+$I$18)^($A7-$A$4)+H5*(1+$I$18)^($A6-$A$4)+H4*(1+$I$18)^($A5-$A$4))*$I$18</f>
        <v>-28311894.602330182</v>
      </c>
      <c r="J12" s="3">
        <f t="shared" si="2"/>
        <v>-19162604.680464592</v>
      </c>
      <c r="K12" s="6">
        <f>[2]Sheet3!B13</f>
        <v>-4616.5393378730951</v>
      </c>
      <c r="L12" s="6">
        <f>[2]Sheet3!C13</f>
        <v>-22510.041240214487</v>
      </c>
      <c r="M12" s="6">
        <f>[2]Sheet3!D13</f>
        <v>-960313.75393639295</v>
      </c>
      <c r="N12" s="5">
        <f>'[3]Reporting Cost Proposed'!J27</f>
        <v>33922.342775675264</v>
      </c>
      <c r="O12" s="5">
        <f t="shared" si="3"/>
        <v>-953517.99173880531</v>
      </c>
      <c r="P12" s="7">
        <f t="shared" si="4"/>
        <v>-20116122.672203396</v>
      </c>
      <c r="Q12" s="40">
        <f>[1]Summary!$Z$11</f>
        <v>0</v>
      </c>
      <c r="R12" s="3">
        <f>[1]Summary!AA11</f>
        <v>-77167600.949479699</v>
      </c>
      <c r="S12" s="26">
        <f t="shared" si="5"/>
        <v>-78121118.94121851</v>
      </c>
      <c r="T12" s="16">
        <v>0.5</v>
      </c>
      <c r="U12" s="9">
        <v>0.25</v>
      </c>
      <c r="V12" s="28">
        <v>0.25</v>
      </c>
    </row>
    <row r="13" spans="1:22" ht="15" x14ac:dyDescent="0.2">
      <c r="A13" s="2">
        <v>2023</v>
      </c>
      <c r="B13" s="3">
        <f>'[1]Instate Large Fleets Heavy New'!K95</f>
        <v>109625385.28731053</v>
      </c>
      <c r="C13" s="3">
        <f>'[1]Instate Small Fleets Heavy New'!K95</f>
        <v>38224958.429353863</v>
      </c>
      <c r="D13" s="3">
        <f>'[1]Instate Fleets Light'!I95</f>
        <v>-3318219.4393723644</v>
      </c>
      <c r="E13" s="3">
        <f>'[1]OOS Large Fleets Heavy'!K95</f>
        <v>118411700.50426938</v>
      </c>
      <c r="F13" s="5">
        <f>'[1]OOS Small Fleets Heavy'!K95</f>
        <v>-2790570.9800052587</v>
      </c>
      <c r="G13" s="3">
        <f t="shared" si="0"/>
        <v>260153253.80155611</v>
      </c>
      <c r="H13" s="7">
        <f t="shared" si="1"/>
        <v>403583083.10097408</v>
      </c>
      <c r="I13" s="5">
        <f>(H13+H12*(1+$I$18)^($A13-$A$4)+H11*(1+$I$18)^($A12-$A$4)+H10*(1+$I$18)^($A11-$A$4)+H9*(1+$I$18)^($A10-$A$4)+H8*(1+$I$18)^($A9-$A$4)+H7*(1+$I$18)^($A8-$A$4)+H6*(1+$I$18)^($A7-$A$4)+H5*(1+$I$18)^($A6-$A$4)+H4*(1+$I$18)^($A5-$A$4))*$I$18</f>
        <v>-6752669.5352098057</v>
      </c>
      <c r="J13" s="3">
        <f t="shared" si="2"/>
        <v>-4352830.9906685296</v>
      </c>
      <c r="K13" s="6">
        <f>[2]Sheet3!B14</f>
        <v>-5763.9053935086049</v>
      </c>
      <c r="L13" s="6">
        <f>[2]Sheet3!C14</f>
        <v>-28104.547284622153</v>
      </c>
      <c r="M13" s="6">
        <f>[2]Sheet3!D14</f>
        <v>3999.8476621636073</v>
      </c>
      <c r="N13" s="5">
        <f>'[3]Reporting Cost Proposed'!J28</f>
        <v>63489.949441726676</v>
      </c>
      <c r="O13" s="5">
        <f t="shared" si="3"/>
        <v>33621.344425759526</v>
      </c>
      <c r="P13" s="7">
        <f t="shared" si="4"/>
        <v>-4319209.6462427704</v>
      </c>
      <c r="Q13" s="40">
        <f>[1]Summary!$Z$12</f>
        <v>0</v>
      </c>
      <c r="R13" s="3">
        <f>[1]Summary!AA12</f>
        <v>260153253.80155611</v>
      </c>
      <c r="S13" s="26">
        <f t="shared" si="5"/>
        <v>260186875.14598188</v>
      </c>
      <c r="T13" s="16">
        <v>0.5</v>
      </c>
      <c r="U13" s="9">
        <v>0.25</v>
      </c>
      <c r="V13" s="28">
        <v>0.25</v>
      </c>
    </row>
    <row r="14" spans="1:22" ht="15" x14ac:dyDescent="0.2">
      <c r="A14" s="2">
        <v>2024</v>
      </c>
      <c r="B14" s="3">
        <f>'[1]Instate Large Fleets Heavy New'!K96</f>
        <v>110120.60183715627</v>
      </c>
      <c r="C14" s="3">
        <f>'[1]Instate Small Fleets Heavy New'!K96</f>
        <v>-6056.398376035615</v>
      </c>
      <c r="D14" s="3">
        <f>'[1]Instate Fleets Light'!I96</f>
        <v>-18312.921841427553</v>
      </c>
      <c r="E14" s="3">
        <f>'[1]OOS Large Fleets Heavy'!K96</f>
        <v>2194629.0874587744</v>
      </c>
      <c r="F14" s="5">
        <f>'[1]OOS Small Fleets Heavy'!K96</f>
        <v>34608.778148432939</v>
      </c>
      <c r="G14" s="3">
        <f t="shared" si="0"/>
        <v>2314989.1472269003</v>
      </c>
      <c r="H14" s="7">
        <f t="shared" si="1"/>
        <v>3770873.3829659894</v>
      </c>
      <c r="I14" s="5">
        <f>(H14+H13*(1+$I$18)^($A14-$A$4)+H12*(1+$I$18)^($A13-$A$4)+H11*(1+$I$18)^($A12-$A$4)+H10*(1+$I$18)^($A11-$A$4)+H9*(1+$I$18)^($A10-$A$4)+H8*(1+$I$18)^($A9-$A$4)+H7*(1+$I$18)^($A8-$A$4)+H6*(1+$I$18)^($A7-$A$4)+H5*(1+$I$18)^($A6-$A$4)+H4*(1+$I$18)^($A5-$A$4))*$I$18</f>
        <v>20834106.463612832</v>
      </c>
      <c r="J14" s="3">
        <f t="shared" si="2"/>
        <v>12790334.083691116</v>
      </c>
      <c r="K14" s="6">
        <f>[2]Sheet3!B15</f>
        <v>-5681.8868143143991</v>
      </c>
      <c r="L14" s="6">
        <f>[2]Sheet3!C15</f>
        <v>-27704.628326934762</v>
      </c>
      <c r="M14" s="6">
        <f>[2]Sheet3!D15</f>
        <v>563.03569060243899</v>
      </c>
      <c r="N14" s="5"/>
      <c r="O14" s="5">
        <f t="shared" si="3"/>
        <v>-32823.479450646722</v>
      </c>
      <c r="P14" s="7">
        <f t="shared" si="4"/>
        <v>12757510.60424047</v>
      </c>
      <c r="Q14" s="40">
        <f>[1]Summary!$Z$13</f>
        <v>0</v>
      </c>
      <c r="R14" s="3">
        <f>[1]Summary!AA13</f>
        <v>2314989.1472269003</v>
      </c>
      <c r="S14" s="26">
        <f t="shared" si="5"/>
        <v>2282165.6677762535</v>
      </c>
      <c r="T14" s="16">
        <v>0.5</v>
      </c>
      <c r="U14" s="9">
        <v>0.25</v>
      </c>
      <c r="V14" s="28">
        <v>0.25</v>
      </c>
    </row>
    <row r="15" spans="1:22" ht="15" x14ac:dyDescent="0.2">
      <c r="A15" s="2">
        <v>2025</v>
      </c>
      <c r="B15" s="3">
        <f>'[1]Instate Large Fleets Heavy New'!K97</f>
        <v>47855.448754782497</v>
      </c>
      <c r="C15" s="3">
        <f>'[1]Instate Small Fleets Heavy New'!K97</f>
        <v>-35553.115320412777</v>
      </c>
      <c r="D15" s="3">
        <f>'[1]Instate Fleets Light'!I97</f>
        <v>-13583.234429711969</v>
      </c>
      <c r="E15" s="3">
        <f>'[1]OOS Large Fleets Heavy'!K97</f>
        <v>1045114.9578017632</v>
      </c>
      <c r="F15" s="5">
        <f>'[1]OOS Small Fleets Heavy'!K97</f>
        <v>24445.469971571831</v>
      </c>
      <c r="G15" s="3">
        <f t="shared" si="0"/>
        <v>1068279.5267779927</v>
      </c>
      <c r="H15" s="7">
        <f t="shared" si="1"/>
        <v>1827120.5201182715</v>
      </c>
      <c r="I15" s="5">
        <f>(H15+H14*(1+$A$19)^($A15-$A$4)+H13*(1+$A$19)^($A14-$A$4)+H12*(1+$A$19)^($A13-$A$4)+H11*(1+$A$19)^($A12-$A$4)+H10*(1+$A$19)^($A11-$A$4)+H9*(1+$A$19)^($A10-$A$4)+H8*(1+$A$19)^($A9-$A$4)+H7*(1+$A$19)^($A8-$A$4)+H6*(1+$A$19)^($A7-$A$4)+H5*(1+$A$19)^($A6-$A$4)+H4*(1+$A$19)^($A5-$A$4))*$A$19</f>
        <v>6779552.9885234656</v>
      </c>
      <c r="J15" s="3">
        <f t="shared" si="2"/>
        <v>3963864.221653732</v>
      </c>
      <c r="K15" s="6">
        <f>[2]Sheet3!B16</f>
        <v>-5285.0118487348955</v>
      </c>
      <c r="L15" s="6">
        <f>[2]Sheet3!C16</f>
        <v>-25769.483581364533</v>
      </c>
      <c r="M15" s="6">
        <f>[2]Sheet3!D16</f>
        <v>-369.52603795361938</v>
      </c>
      <c r="N15" s="5"/>
      <c r="O15" s="5">
        <f t="shared" si="3"/>
        <v>-31424.021468053048</v>
      </c>
      <c r="P15" s="7">
        <f t="shared" si="4"/>
        <v>3932440.2001856789</v>
      </c>
      <c r="Q15" s="40">
        <f>[1]Summary!$Z$14</f>
        <v>0</v>
      </c>
      <c r="R15" s="3">
        <f>[1]Summary!AA14</f>
        <v>1068279.5267779927</v>
      </c>
      <c r="S15" s="26">
        <f t="shared" si="5"/>
        <v>1036855.5053099396</v>
      </c>
      <c r="T15" s="16">
        <v>0.5</v>
      </c>
      <c r="U15" s="9">
        <v>0.25</v>
      </c>
      <c r="V15" s="28">
        <v>0.25</v>
      </c>
    </row>
    <row r="16" spans="1:22" ht="16.5" thickBot="1" x14ac:dyDescent="0.3">
      <c r="A16" s="4" t="s">
        <v>6</v>
      </c>
      <c r="B16" s="3">
        <f t="shared" ref="B16:O16" si="6">SUM(B4:B15)</f>
        <v>-152045456.33050472</v>
      </c>
      <c r="C16" s="3">
        <f t="shared" si="6"/>
        <v>-252931345.45794064</v>
      </c>
      <c r="D16" s="3">
        <f t="shared" si="6"/>
        <v>-37579195.107592605</v>
      </c>
      <c r="E16" s="3">
        <f t="shared" si="6"/>
        <v>70888338.083861753</v>
      </c>
      <c r="F16" s="5">
        <f t="shared" si="6"/>
        <v>-7319825.1041546296</v>
      </c>
      <c r="G16" s="3">
        <f t="shared" si="6"/>
        <v>-378987483.91633105</v>
      </c>
      <c r="H16" s="8">
        <f>SUM(H4:H15)</f>
        <v>-175755260.4172776</v>
      </c>
      <c r="I16" s="10">
        <f t="shared" si="6"/>
        <v>-456406630.61614782</v>
      </c>
      <c r="J16" s="3">
        <f>SUM(J4:J15)</f>
        <v>-392783369.87164837</v>
      </c>
      <c r="K16" s="6">
        <f t="shared" si="6"/>
        <v>-5019573.3081065696</v>
      </c>
      <c r="L16" s="3">
        <f t="shared" si="6"/>
        <v>-24475217.019555345</v>
      </c>
      <c r="M16" s="3">
        <f t="shared" si="6"/>
        <v>2016237.0363218735</v>
      </c>
      <c r="N16" s="5">
        <f t="shared" si="6"/>
        <v>245925.38448616804</v>
      </c>
      <c r="O16" s="5">
        <f t="shared" si="6"/>
        <v>-27232627.906853881</v>
      </c>
      <c r="P16" s="8">
        <f t="shared" ref="P16" si="7">SUM(P4:P15)</f>
        <v>-420015997.77850229</v>
      </c>
      <c r="Q16" s="41">
        <f>SUM(Q5:Q15)</f>
        <v>-65164099.664420441</v>
      </c>
      <c r="R16" s="29">
        <f>SUM(R5:R15)</f>
        <v>-313823384.25191033</v>
      </c>
      <c r="S16" s="27">
        <f>SUM(S4:S15)</f>
        <v>-406220111.82318461</v>
      </c>
      <c r="T16" s="16">
        <v>0.5</v>
      </c>
      <c r="U16" s="9">
        <v>0.25</v>
      </c>
      <c r="V16" s="28">
        <v>0.25</v>
      </c>
    </row>
    <row r="17" spans="1:14" x14ac:dyDescent="0.2">
      <c r="N17" s="12"/>
    </row>
    <row r="18" spans="1:14" hidden="1" x14ac:dyDescent="0.2">
      <c r="I18" s="19">
        <v>7.0000000000000007E-2</v>
      </c>
      <c r="J18" s="11"/>
    </row>
    <row r="19" spans="1:14" hidden="1" x14ac:dyDescent="0.2">
      <c r="A19" s="11">
        <v>0.05</v>
      </c>
    </row>
    <row r="20" spans="1:14" x14ac:dyDescent="0.2">
      <c r="G20" s="12"/>
      <c r="I20" s="18"/>
      <c r="M20" s="12"/>
    </row>
    <row r="21" spans="1:14" x14ac:dyDescent="0.2">
      <c r="G21" s="12"/>
      <c r="I21" s="18"/>
    </row>
    <row r="22" spans="1:14" x14ac:dyDescent="0.2">
      <c r="G22" s="12"/>
    </row>
    <row r="23" spans="1:14" x14ac:dyDescent="0.2">
      <c r="G23" s="12"/>
    </row>
    <row r="24" spans="1:14" x14ac:dyDescent="0.2">
      <c r="G24" s="12"/>
    </row>
    <row r="25" spans="1:14" x14ac:dyDescent="0.2">
      <c r="G25" s="12"/>
    </row>
    <row r="26" spans="1:14" x14ac:dyDescent="0.2">
      <c r="G26" s="12"/>
    </row>
    <row r="27" spans="1:14" x14ac:dyDescent="0.2">
      <c r="G27" s="12"/>
      <c r="H27" s="12"/>
    </row>
    <row r="28" spans="1:14" x14ac:dyDescent="0.2">
      <c r="G28" s="12"/>
    </row>
    <row r="29" spans="1:14" x14ac:dyDescent="0.2">
      <c r="G29" s="12"/>
    </row>
    <row r="30" spans="1:14" x14ac:dyDescent="0.2">
      <c r="G30" s="12"/>
    </row>
    <row r="34" spans="7:10" x14ac:dyDescent="0.2">
      <c r="G34" s="12"/>
    </row>
    <row r="36" spans="7:10" x14ac:dyDescent="0.2">
      <c r="G36" s="12"/>
    </row>
    <row r="37" spans="7:10" x14ac:dyDescent="0.2">
      <c r="G37" s="12"/>
      <c r="I37" s="12"/>
      <c r="J37" s="12"/>
    </row>
    <row r="38" spans="7:10" x14ac:dyDescent="0.2">
      <c r="G38" s="12"/>
    </row>
    <row r="40" spans="7:10" x14ac:dyDescent="0.2">
      <c r="G40" s="12"/>
    </row>
  </sheetData>
  <mergeCells count="20">
    <mergeCell ref="S2:S3"/>
    <mergeCell ref="Q2:R2"/>
    <mergeCell ref="Q3:Q4"/>
    <mergeCell ref="R3:R4"/>
    <mergeCell ref="G2:G3"/>
    <mergeCell ref="K2:K3"/>
    <mergeCell ref="L2:L3"/>
    <mergeCell ref="M2:M3"/>
    <mergeCell ref="N2:N3"/>
    <mergeCell ref="O2:O3"/>
    <mergeCell ref="P2:P3"/>
    <mergeCell ref="F2:F3"/>
    <mergeCell ref="H2:H3"/>
    <mergeCell ref="I2:I3"/>
    <mergeCell ref="J2:J3"/>
    <mergeCell ref="A2:A3"/>
    <mergeCell ref="B2:B3"/>
    <mergeCell ref="C2:C3"/>
    <mergeCell ref="D2:D3"/>
    <mergeCell ref="E2:E3"/>
  </mergeCells>
  <pageMargins left="0.2" right="0.2" top="0.25" bottom="0.25" header="0.3" footer="0.3"/>
  <pageSetup paperSize="3" scale="67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Yearly Summary</vt:lpstr>
      <vt:lpstr>Sheet1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Ho</dc:creator>
  <cp:lastModifiedBy>Barry Ho</cp:lastModifiedBy>
  <cp:lastPrinted>2014-02-19T22:12:03Z</cp:lastPrinted>
  <dcterms:created xsi:type="dcterms:W3CDTF">2014-02-10T19:12:11Z</dcterms:created>
  <dcterms:modified xsi:type="dcterms:W3CDTF">2014-02-27T17:09:06Z</dcterms:modified>
</cp:coreProperties>
</file>