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020" yWindow="65296" windowWidth="13530" windowHeight="10215" tabRatio="794" firstSheet="1" activeTab="2"/>
  </bookViews>
  <sheets>
    <sheet name="CB_DATA_" sheetId="1" state="veryHidden" r:id="rId1"/>
    <sheet name="GTAP EFs" sheetId="2" r:id="rId2"/>
    <sheet name="Woods Hole" sheetId="3" r:id="rId3"/>
    <sheet name="Factors" sheetId="4" r:id="rId4"/>
  </sheets>
  <externalReferences>
    <externalReference r:id="rId7"/>
  </externalReferences>
  <definedNames>
    <definedName name="AcrePerHa">'Factors'!$B$8</definedName>
    <definedName name="AcresPerHectare">#REF!</definedName>
    <definedName name="AmazonRainforestFactor">'Factors'!$E$31</definedName>
    <definedName name="AreaPercentStdev">#REF!</definedName>
    <definedName name="AreaPercentStdevFAPRI">#REF!</definedName>
    <definedName name="BtuPerMJ">'Factors'!$B$4</definedName>
    <definedName name="CB_105d4d8d432e4a49bbf4abd8baaa5b3e" localSheetId="0" hidden="1">#N/A</definedName>
    <definedName name="CB_1c8d35c90eb34f33b98643a150a84cdc" localSheetId="0" hidden="1">#N/A</definedName>
    <definedName name="CB_36b99277c1f544fdae0deb2929ae7537" localSheetId="2" hidden="1">'Woods Hole'!$H$65</definedName>
    <definedName name="CB_3717ec9e5aa14b8ea8d9314efc52f65b" localSheetId="2" hidden="1">'Woods Hole'!$H$62</definedName>
    <definedName name="CB_38eaf4055b084e04863ae15dab803975" localSheetId="2" hidden="1">'Woods Hole'!$H$56</definedName>
    <definedName name="CB_3b4835f211d14552997a2be495dbb1ed" localSheetId="2" hidden="1">'Woods Hole'!$H$57</definedName>
    <definedName name="CB_450095ad370645fc955eaeefa66cc11e" localSheetId="2" hidden="1">'Woods Hole'!$H$36</definedName>
    <definedName name="CB_49a9a29a5e314dfca4e0f8897b951c7c" localSheetId="2" hidden="1">'Woods Hole'!$H$17</definedName>
    <definedName name="CB_49fd27fc1850424697483ce6ec1ca7f5" localSheetId="2" hidden="1">'Woods Hole'!$N$7</definedName>
    <definedName name="CB_4c980d4035fd4af189d5cc903d747269" localSheetId="2" hidden="1">'Woods Hole'!$H$35</definedName>
    <definedName name="CB_4ed58f285cc044868e1b983f5fb8d1fa" localSheetId="2" hidden="1">'Woods Hole'!$H$84</definedName>
    <definedName name="CB_517e5fe0956a405cb99ec4fd148486d8" localSheetId="2" hidden="1">'Woods Hole'!$H$26</definedName>
    <definedName name="CB_5b0d97852cf64f07a4f5552b11b8f9c5" localSheetId="2" hidden="1">'Woods Hole'!$H$55</definedName>
    <definedName name="CB_731ab88a48e743cc96345b135aee4f07" localSheetId="2" hidden="1">'Woods Hole'!$H$67</definedName>
    <definedName name="CB_7ee8c393af9848ad8d77784ca0a364aa" localSheetId="0" hidden="1">#N/A</definedName>
    <definedName name="CB_90c28aeac9b04f8ba31cd2898262dccb" localSheetId="2" hidden="1">'Woods Hole'!$N$6</definedName>
    <definedName name="CB_91cdf4a43cd2491cb42f2ec9c88328ad" localSheetId="2" hidden="1">'Woods Hole'!$H$28</definedName>
    <definedName name="CB_a3baf137a7ca422a86899e07d5702dbc" localSheetId="2" hidden="1">'Woods Hole'!$H$51</definedName>
    <definedName name="CB_b90864764a1644359a418da8e20f5822" localSheetId="2" hidden="1">'Woods Hole'!$H$27</definedName>
    <definedName name="CB_Block_00000000000000000000000000000000" localSheetId="0" hidden="1">"'7.0.0.0"</definedName>
    <definedName name="CB_Block_00000000000000000000000000000000" localSheetId="3" hidden="1">"'7.0.0.0"</definedName>
    <definedName name="CB_Block_00000000000000000000000000000000" localSheetId="1" hidden="1">"'7.0.0.0"</definedName>
    <definedName name="CB_Block_00000000000000000000000000000000" localSheetId="2" hidden="1">"'7.0.0.0"</definedName>
    <definedName name="CB_Block_00000000000000000000000000000001" localSheetId="0" hidden="1">"'633713415323895745"</definedName>
    <definedName name="CB_Block_00000000000000000000000000000001" localSheetId="3" hidden="1">"'633713414927812500"</definedName>
    <definedName name="CB_Block_00000000000000000000000000000001" localSheetId="1" hidden="1">"'633713414170935920"</definedName>
    <definedName name="CB_Block_00000000000000000000000000000001" localSheetId="2" hidden="1">"'633713414552656250"</definedName>
    <definedName name="CB_Block_00000000000000000000000000000003" localSheetId="0" hidden="1">"'7.3.960.0"</definedName>
    <definedName name="CB_Block_00000000000000000000000000000003" localSheetId="3" hidden="1">"'7.3.960.0"</definedName>
    <definedName name="CB_Block_00000000000000000000000000000003" localSheetId="1" hidden="1">"'7.3.960.0"</definedName>
    <definedName name="CB_Block_00000000000000000000000000000003" localSheetId="2" hidden="1">"'7.3.960.0"</definedName>
    <definedName name="CB_BlockExt_00000000000000000000000000000003" localSheetId="0" hidden="1">"'7.3.1"</definedName>
    <definedName name="CB_BlockExt_00000000000000000000000000000003" localSheetId="3" hidden="1">"'7.3.1"</definedName>
    <definedName name="CB_BlockExt_00000000000000000000000000000003" localSheetId="1" hidden="1">"'7.3.1"</definedName>
    <definedName name="CB_BlockExt_00000000000000000000000000000003" localSheetId="2" hidden="1">"'7.3.1"</definedName>
    <definedName name="CB_ccc0df5c236d44f6a3f480cfaaffe99c" localSheetId="2" hidden="1">'Woods Hole'!$H$75</definedName>
    <definedName name="CB_d62686f4a2694df7af362b3ff1711fad" localSheetId="2" hidden="1">'Woods Hole'!$N$6</definedName>
    <definedName name="CB_ed5de3022a324153ba398d07b97dfbe6" localSheetId="0" hidden="1">#N/A</definedName>
    <definedName name="CBCR_0ef7732dcb8e4173942d6a06ecf5219a" localSheetId="2" hidden="1">'Woods Hole'!$N$7</definedName>
    <definedName name="CBCR_20f7318dc2084972812493111d584dff" localSheetId="2" hidden="1">CONCATENATE('Woods Hole'!$H$3,", ",'Woods Hole'!$A$56," ",'Woods Hole'!$B$56)</definedName>
    <definedName name="CBCR_27879e896101480e8d60c38484389c52" localSheetId="2" hidden="1">CONCATENATE('Woods Hole'!$H$3,", ",'Woods Hole'!$A$57," ",'Woods Hole'!$B$57)</definedName>
    <definedName name="CBCR_392574ce314240bba05ee7fe3b457a71" localSheetId="2" hidden="1">CONCATENATE('Woods Hole'!$N$3,", ",'Woods Hole'!$A$6," ",'Woods Hole'!$B$6)</definedName>
    <definedName name="CBCR_3aacbfa8f0264daa8dfc1ef7a3837cae" localSheetId="2" hidden="1">'Woods Hole'!$N$6-ABS('Woods Hole'!$N$6*GrossUptakeSpread)</definedName>
    <definedName name="CBCR_4e7c93657db946e69d4c61dc63cb9cc0" localSheetId="2" hidden="1">CONCATENATE('Woods Hole'!$H$3,", ",'Woods Hole'!$A$27," ",'Woods Hole'!$B$27)</definedName>
    <definedName name="CBCR_58c50cd638d946088da36a2b8b90ea54" localSheetId="2" hidden="1">CONCATENATE('Woods Hole'!$N$3,", ",'Woods Hole'!$A$7," ",'Woods Hole'!$B$7)</definedName>
    <definedName name="CBCR_635fe655d1dd4d94b9371f85992955ff" localSheetId="2" hidden="1">CONCATENATE('Woods Hole'!$H$3,", ",'Woods Hole'!$A$62," ",'Woods Hole'!$B$62)</definedName>
    <definedName name="CBCR_6a75506cd57d46fb8474d4e71facf767" localSheetId="2" hidden="1">'Woods Hole'!$N$6</definedName>
    <definedName name="CBCR_6f853a03b3c9467ba94d3e57fa8addbc" localSheetId="2" hidden="1">'Woods Hole'!$N$6</definedName>
    <definedName name="CBCR_78fbb2eeded44829a90a42004b738ce0" localSheetId="2" hidden="1">CONCATENATE('Woods Hole'!$H$3,", ",'Woods Hole'!$A$55," ",'Woods Hole'!$B$55)</definedName>
    <definedName name="CBCR_7d2b9e6c256847c88b24c3d5285e141a" localSheetId="2" hidden="1">CONCATENATE('Woods Hole'!$H$3,", ",'Woods Hole'!$A$67," ",'Woods Hole'!$B$67)</definedName>
    <definedName name="CBCR_938fe8419bf542dcacfe100f6f1f0f41" localSheetId="2" hidden="1">CONCATENATE('Woods Hole'!$H$3,", ",'Woods Hole'!$A$36," ",'Woods Hole'!$B$36)</definedName>
    <definedName name="CBCR_9e539cb32c7046ec9446fe5b5968843e" localSheetId="2" hidden="1">'Woods Hole'!$N$7+ABS('Woods Hole'!$N$7*GrossUptakeSpread)</definedName>
    <definedName name="CBCR_9f522c16bada48438187b8f55bad2da0" localSheetId="2" hidden="1">CONCATENATE('Woods Hole'!$H$3,", ",'Woods Hole'!$A$17," ",'Woods Hole'!$B$17)</definedName>
    <definedName name="CBCR_a8d35c66106440e28bb440ab600de83e" localSheetId="2" hidden="1">'Woods Hole'!$N$7-ABS('Woods Hole'!$N$7*GrossUptakeSpread)</definedName>
    <definedName name="CBCR_afb5e42737914dda84f957ee23914e20" localSheetId="2" hidden="1">'Woods Hole'!$N$6+ABS('Woods Hole'!$N$6*GrossUptakeSpread)</definedName>
    <definedName name="CBCR_b4a7fa7ea01648aab03e7a54c18b383e" localSheetId="2" hidden="1">CONCATENATE('Woods Hole'!$H$3,", ",'Woods Hole'!$A$26," ",'Woods Hole'!$B$26)</definedName>
    <definedName name="CBCR_b98befac1ed64df198b1e8b5da1963de" localSheetId="2" hidden="1">CONCATENATE('Woods Hole'!$H$3,", ",'Woods Hole'!$A$28," ",'Woods Hole'!$B$28)</definedName>
    <definedName name="CBCR_c1f9d52421904b32a411af0f3d043b7b" localSheetId="2" hidden="1">CONCATENATE('Woods Hole'!$H$3,", ",'Woods Hole'!$A$35," ",'Woods Hole'!$B$35)</definedName>
    <definedName name="CBCR_c59d44d3ac0f439288a26da6819b9f14" localSheetId="2" hidden="1">ABS('Woods Hole'!$N$6*GrossUptakeSpread)</definedName>
    <definedName name="CBCR_c97429a9af4b4a928d1c3916ae84e256" localSheetId="2" hidden="1">CONCATENATE('Woods Hole'!$H$3,", ",'Woods Hole'!$A$51," ",'Woods Hole'!$B$51)</definedName>
    <definedName name="CBCR_cc73257671b044f3a051930262185f24" localSheetId="2" hidden="1">CONCATENATE('Woods Hole'!$H$3,", ",'Woods Hole'!$A$84," ",'Woods Hole'!$B$84)</definedName>
    <definedName name="CBCR_d5b249de2643429ea70fb6f183111038" localSheetId="2" hidden="1">CONCATENATE('Woods Hole'!$H$3,", ",'Woods Hole'!$A$75," ",'Woods Hole'!$B$75)</definedName>
    <definedName name="CBCR_d9b028a53e8549d093ffe6f64417fd62" localSheetId="2" hidden="1">CONCATENATE('Woods Hole'!$H$3,", ",'Woods Hole'!$A$65," ",'Woods Hole'!$B$65)</definedName>
    <definedName name="CBCR_dd441c3b84ce42649ba3cece7f9c82c0" localSheetId="2" hidden="1">CONCATENATE('Woods Hole'!$N$3,", ",'Woods Hole'!$A$6," ",'Woods Hole'!$B$6)</definedName>
    <definedName name="CBWorkbookPriority" hidden="1">-1637519716</definedName>
    <definedName name="CBx_1b12ddb31ee445ef9899e5c2910cd80a" localSheetId="0" hidden="1">"'LUC'!$A$1"</definedName>
    <definedName name="CBx_276262b9223e441c8479c6dcb8aa4464" localSheetId="0" hidden="1">"'GTAP 1.75-15 Best Case'!$A$1"</definedName>
    <definedName name="CBx_343dc565307e4a8f935f7e8f71cd666a" localSheetId="0" hidden="1">"'Main GTAP'!$A$1"</definedName>
    <definedName name="CBx_357e41046db94886bffcefd396fd5bca" localSheetId="0" hidden="1">"'GTAP 1.75-15 Main'!$A$1"</definedName>
    <definedName name="CBx_43627f3746704e0cba328a78adb68074" localSheetId="0" hidden="1">"'GTAP 13-15 Main'!$A$1"</definedName>
    <definedName name="CBx_4777f9899c984289979223b1781d1897" localSheetId="0" hidden="1">"'Grass'!$A$1"</definedName>
    <definedName name="CBx_728eda3fd90e445387ab30192bf46dd6" localSheetId="0" hidden="1">"'Main FAPRI'!$A$1"</definedName>
    <definedName name="CBx_7f4f7ddfce9e4a2d8df08cc67af23063" localSheetId="0" hidden="1">"'GTAP 1.75-15 Main'!$A$1"</definedName>
    <definedName name="CBx_870eaf59a84c48369df1b5ed364688f0" localSheetId="0" hidden="1">"'FAPRI_Old'!$A$1"</definedName>
    <definedName name="CBx_880084b363ac419e804052e9a005683d" localSheetId="0" hidden="1">"'Discounted EFs'!$A$1"</definedName>
    <definedName name="CBx_98581978d10d4bbe8d439c7824aa56db" localSheetId="0" hidden="1">"'Burning EFs'!$A$1"</definedName>
    <definedName name="CBx_a243f86ca358479da0d94000bfe7a0d9" localSheetId="0" hidden="1">"'Corn'!$A$1"</definedName>
    <definedName name="CBx_a67e18b295254e6db7b066434ba6e12b" localSheetId="0" hidden="1">"'GTAP 1.75-15 Alternative'!$A$1"</definedName>
    <definedName name="CBx_c8418c3b2de249fe8c9ea525849b0b6c" localSheetId="0" hidden="1">"'CB_DATA_'!$A$1"</definedName>
    <definedName name="CBx_ddafe3369b6c4329aeb9e8b286bec306" localSheetId="0" hidden="1">"'Woods Hole'!$A$1"</definedName>
    <definedName name="CBx_e0954e7de8d34290a771045461308a26" localSheetId="0" hidden="1">"'Overview'!$A$1"</definedName>
    <definedName name="CBx_e4c65a236c25455bbca47e18a88597f2" localSheetId="0" hidden="1">"'Distributions'!$A$1"</definedName>
    <definedName name="CBx_f0e9e6d8dcea438db26494ed07aa4e8c" localSheetId="0" hidden="1">"'GTAP EFs'!$A$1"</definedName>
    <definedName name="CBx_f3bb39d2ab514d15b9fc7cf2d5cba14c" localSheetId="0" hidden="1">"'Factors'!$A$1"</definedName>
    <definedName name="CBx_fbb5240fc3e54d5daed614fa6273a3dd" localSheetId="0" hidden="1">"'LUC'!$A$1"</definedName>
    <definedName name="CBx_Sheet_Guid" localSheetId="0" hidden="1">"'c8418c3b-2de2-49fe-8c9e-a525849b0b6c"</definedName>
    <definedName name="CBx_Sheet_Guid" localSheetId="3" hidden="1">"'f3bb39d2-ab51-4d15-b9fc-7cf2d5cba14c"</definedName>
    <definedName name="CBx_Sheet_Guid" localSheetId="1" hidden="1">"'f0e9e6d8-dcea-438d-b264-94ed07aa4e8c"</definedName>
    <definedName name="CBx_Sheet_Guid" localSheetId="2" hidden="1">"'ddafe336-9b6c-4329-aeb9-e8b286bec306"</definedName>
    <definedName name="CBx_SheetRef" localSheetId="0" hidden="1">'CB_DATA_'!$A$14</definedName>
    <definedName name="CBx_SheetRef" localSheetId="3" hidden="1">'CB_DATA_'!$K$14</definedName>
    <definedName name="CBx_SheetRef" localSheetId="1" hidden="1">'CB_DATA_'!$L$14</definedName>
    <definedName name="CBx_SheetRef" localSheetId="2" hidden="1">'CB_DATA_'!$E$14</definedName>
    <definedName name="CBx_StorageType" localSheetId="0" hidden="1">2</definedName>
    <definedName name="CBx_StorageType" localSheetId="3" hidden="1">2</definedName>
    <definedName name="CBx_StorageType" localSheetId="1" hidden="1">2</definedName>
    <definedName name="CBx_StorageType" localSheetId="2" hidden="1">2</definedName>
    <definedName name="CerradoFactor">'Factors'!$F$32</definedName>
    <definedName name="ClearingPercentStdev">#REF!</definedName>
    <definedName name="CO2Factor">'Factors'!#REF!</definedName>
    <definedName name="CO2PerC">'Factors'!$B$13</definedName>
    <definedName name="CroplandCarbonCV">#REF!</definedName>
    <definedName name="DenaturantLHV">'Factors'!$B$21</definedName>
    <definedName name="DenaturantVolume">'Factors'!$B$17</definedName>
    <definedName name="DenaturedEthanolLHV">'Factors'!$B$22</definedName>
    <definedName name="DiscountRate">'[1]Factors'!$C$4</definedName>
    <definedName name="EmissionProfile">'[1]Factors'!#REF!</definedName>
    <definedName name="EthanolLHV">'Factors'!$B$19</definedName>
    <definedName name="ExistingForestUptakeDuration">'Factors'!$B$47</definedName>
    <definedName name="ForestAreaSpread">#REF!</definedName>
    <definedName name="GrassBurningEF">#REF!</definedName>
    <definedName name="GrassyCerradoFactor">'Factors'!$E$33</definedName>
    <definedName name="GrossUptakeSpread">#REF!</definedName>
    <definedName name="GWP_CH4">#REF!</definedName>
    <definedName name="GWP_CO">#REF!</definedName>
    <definedName name="GWP_CO2">#REF!</definedName>
    <definedName name="GWP_N2O">#REF!</definedName>
    <definedName name="InitialLossFraction">'[1]Factors'!$C$8</definedName>
    <definedName name="InitialLossPeriod">'[1]Factors'!$C$6</definedName>
    <definedName name="KgPerBuCorn">'Factors'!$B$6</definedName>
    <definedName name="LbPerKg">'Factors'!$B$7</definedName>
    <definedName name="LiterPerGal">'Factors'!$B$10</definedName>
    <definedName name="LowlandRainforestFactor">'Factors'!$E$29</definedName>
    <definedName name="NonTropicalForestBurningEF">#REF!</definedName>
    <definedName name="OngoingLossFraction">'[1]Factors'!$C$9</definedName>
    <definedName name="OngoingLossPeriod">'[1]Factors'!$C$7</definedName>
    <definedName name="PeatlandRainforestFactor">'Factors'!$E$30</definedName>
    <definedName name="PlantPercentStdev">#REF!</definedName>
    <definedName name="RegainedCarbon">#REF!</definedName>
    <definedName name="RegainedSoilC">'Factors'!$B$52</definedName>
    <definedName name="RegrowingAreaSpread">#REF!</definedName>
    <definedName name="RegrowingForestUptakeDuration">'Factors'!$B$48</definedName>
    <definedName name="ReplacementCropCarbon">'Factors'!$B$41</definedName>
    <definedName name="SequestrationPeriod">#REF!</definedName>
    <definedName name="SoilCarbonPercentLost">#REF!</definedName>
    <definedName name="SoilPercentStdev">#REF!</definedName>
    <definedName name="TimeHorizon">'Factors'!$B$46</definedName>
    <definedName name="TotalAreaCV">#REF!</definedName>
    <definedName name="TropicalForestBurningEF">#REF!</definedName>
    <definedName name="UnspecifiedFactor">'Factors'!$E$35</definedName>
    <definedName name="UptakeTimeHorizon">'Factors'!$B$47</definedName>
    <definedName name="UptakeYears">'Factors'!$B$51</definedName>
    <definedName name="USGrasslandFactor">'Factors'!$E$34</definedName>
    <definedName name="WoodyCerradoFactor">'Factors'!$E$32</definedName>
  </definedNames>
  <calcPr calcMode="manual" fullCalcOnLoad="1" iterate="1" iterateCount="100" iterateDelta="0.001"/>
</workbook>
</file>

<file path=xl/comments3.xml><?xml version="1.0" encoding="utf-8"?>
<comments xmlns="http://schemas.openxmlformats.org/spreadsheetml/2006/main">
  <authors>
    <author>rjp</author>
  </authors>
  <commentList>
    <comment ref="B89" authorId="0">
      <text>
        <r>
          <rPr>
            <sz val="10"/>
            <rFont val="Tahoma"/>
            <family val="2"/>
          </rPr>
          <t>Adopts values from European Grasslands, thus there is no stochastic information in this row.</t>
        </r>
      </text>
    </comment>
  </commentList>
</comments>
</file>

<file path=xl/sharedStrings.xml><?xml version="1.0" encoding="utf-8"?>
<sst xmlns="http://schemas.openxmlformats.org/spreadsheetml/2006/main" count="524" uniqueCount="233">
  <si>
    <t>㜸〱捤㔸〹㤰ㄴ搵ㄹ㥥搷戳㍤㍢挷㕥㜱㠱㈲㠰㌸㈲挴㘳㘱摣㜵㔹㔸㐴㠴㌹㜶㜶〷昷㥥攵㔰㈱㤳摥㤹搷扢㉤摤搳㙢㜷捦戲ㅢ戵扣㔱ㄴㄴㄲ㈳㈲愲愰ㄸㄴㄵ昰㐸㈲㔸㐰㤵㐹㔵㐲㤵㔵㌱ㄱ㠳㔶㔰换ㅢㄴ㡤㤵ㄸ㤳慡㐴捤晦扦敥扤㘶扢ㄱ㤱㔴搹㌰晦昶㝢晦㝢摦扢晥晦晢晦搷㉥攲㜲戹扥㠶〷晦攲㔳㠰㉦㤳㤲晤扡㐱㤵㔰㔴㤵㘵㥡㌶㈴㌵慢㠷挲㥡㈶昴㌷㑡扡攱㠶〶㥥㤴〴㝡㥤㑦改搲㑦愹㌷搵㑢㌵ㅤㅡ昱㉥㤷搷敢攳㐰㡦㈰昸㉢ㅢ㈸昸戰㔷㔱〱㠸昶㘸愴愵昳㉡㐰㑤ㅡ慡㐶愷〷ㄷ㥢㝤攷捤づ㔵㠷收捣慡っ㔵㑥て㐶㜳戲㤱搳攸扣㉣捤ㄹ㥡㈰㑦て戶收㍡㘵㈹㝤ㄹ敤敦㔰㔷搰散㍣摡㔹㔹摤㈹捣慣慤㥡㔹㔳㈳捥㤹㔳㕢〴〳扢㥡愳㤱〶㉡昷〰摡改挱昴〰㘶㘳㌴搲慡㔱昱昴㈰昲戸〵㌳㘲㌴㉤攱㕥㔱慡㐹搹慥㔰㌴〲晦㠷敤〷㤴㘶㠷㕡㤲挹戴㘰ㄸ㔴挳㜵昹㤴㤶㜴攷㘲㐱捥㔱㡦挲㈶攳㔵ㄶぢ㕡戳愰搰㘲㘵㤱㑥摢㠵㙣ㄷ挵ㄲ慦搴攷愴㑣〱㥣㥦晢㝣扢㐱慣捤〹戵㐴㈳搱㙥㐱㌳ㄸ㈴づ㔰㘱搷㥡㡤ㄴ戲愶挱摡戳ㅡ摣ㄴㄲ戰慣㠳㡤㠷㌳㉣㐴攱〵攱昱㠱㈸戵㝡〵㔹户㘰ㄵ㈹昸〲散㙢㜸愷〰戴攲㔲〲㤷敡攴㔲㘹㉥㤵攱㔲㤴㑢㠹㕣慡㡢㑢㜵㜳㈹㠹㑢㕤挵愵㔶㐰㥢㠱挷㕢㔸挸㔹捦挱㥡戵㤳㥥㉤愹㙥搹戳㉡扡戵昵戱挶㈳㐵㠸搵〸㙢ち㌵㔳攳戴ㅣ㍣㡦慢㌹昹ㅤ㉣㠲搶扣㘲ㅥ㐰㡣敡㘹ㅦ㥥㑥㈲㥢愱㝤ㅥ㜸㠳㔳㉢㔲愲㙡搶愰㝤㐶㑣㌰㠴㐲愵㔵搰㘸搶昰㐱愳ち搶换㝣挳㥥挵慣㙥愰户摦㉡〱㐲ㄹ㝢ㅤ㠶ㄲ㘰ㄵ㈶ㄲ〱㌷㜳ㄷ㤸搲敢戱㜳摣〶㐱敦㌶㠴㑥㤹㑥捤㍢㘸摣㌵戰慤㐵㠶㈴敢㈱㠰慣搷搴㕣て敥攷改挲㘱收㡢㈶攱㈹〶挱㘸〶晦挲戳挰㔷〲搲敦㐳愵て㤵㐸㐱昰〷ㅦ㑢㔷㜴〶扣㌷㐵㈳㌱㔵ㄱ愴散㘹㌹摡愲㜲㠰㙣戳慣㌷愶〹㉢挱〳㠷㠰㉦ち〱昹㥣っ晤〰晢㠸㌵攲㙣戱慡㉡㔳㔳㈹㔴ぢ㍣㥡晥户昱愲戳愰㝤㤱戲㐴捡㘶搴㤵捣慤㡡㤵愴挴散㈶㠶〴㕢愴㜴〸㕡ㄷ〵て搵ㄲ㌱扦挲摣愸愳扦㠷〶ㄴ㥣㜳慢㉡㘵つ扤㐸㘱㝦㤳晤㑡愷㉡〷捣〲戰戵慡昹㉤〵昰戲㡦戵㙦㤴戲昰㠶㌲〹㜵㝥昶挶㕡㥡㤵〸っ挳㜷慢㉢攳㤲っ㤴㐳㌳ㄳ㔹户愸慡㘹㔴ㄶ㤰晢愳㉡ㄵ㐵㈹㉤㠱摤㤶㈸㜱㑤㔵㤲㌴慢戳㔹㡤㘳㑤摢㘹㤷㐶㜵㈴戵ㄸ㌵〴㌰愶㐹ㄱ㐱愷㐳愴㔱㈱㥡㑢㡤愸戹㙣㐶㥦㘸慦㑣ㅡ㠲㐱㈷攴敢㠶㐰㐶㜵㑢〲㠱㔲㥤㙤摦攴晣㙥捣昱挲㝤㤲愹㍥㌳㑦つ㌴慡㜶㍡㙢攳ㅡ扤㝡㔰㍢㙡㐶㘱〸㠷扤ㄴ昵愳㔶㘹慡捣㜹〱昹愹㍡捤戲改㔵㈸慤㔲㝡〵搵㤲ㄴ㠳㈹捤戰愵㡥㐵ㄵ㙣㜷㌶㑤昵㡡㤶㉣㉣ㄴ㜸㍣㌳㘵㜸慤㔸搷㘷㔰㘰㤲っ捣ㄷ攲㥡搱摦㠱㕥㍣㙥㐴ㄳ㜳㑣㔰晣㜰㐴㜵㕣㑤攷㜴㘴っ㑤㤵㐷㙡挲㤹㕥〱挶捣㌴愹ㄹ㕡攰收ち㕣〴㠳㜲〱ち㔷〱晣㠵〷㈲户摢つ㡣㌲㍤㡦㉦㔸慣挲㘱昴㠱挰㌰捣㠴㌱㌲搸戱捦㘰摡㜰慥㌳ㅡ㍢㘵㌴㐴晣戱㄰㌳㘶愴㤳㘲㈲愲㙡攸扤㠵愴搰㔱㘷㑢摡㈳收㡢㕥㌰㌸〶㈱㘴㝣摥㌰敤㜰㍥㜰づ㌲挵愱戸㝣扥ㅣ戶晥㈱扢挴改㥥㘰攰㘱愷㠲慥㡤慤捦晢㠶㡤ㄸ戴扤晦㙦㘳㡥㉢户㔶㕦搷ぢ㥥摤㈰㘴㌳㌲搵㑥㜸㠴〴㘷攴ㅢ㠳㘲㉣㡡㜱㈰昸㘳挰摣㈷㝢戶㤸ㄲㄶ昶㘲㔴㑣愵㈰捡㐰〹敤㡥㜸挶㠳昴㌴〹ㅡ㤸㌷晦㈱攰搹ㅥ㌱戳搳㉣㘶㍡っ挱扦㈲慢慥〴㙥〲挳攰㜵㈴て〴昷ㄵㄶ攲搱昹攱㘷㍤㥣㡢㜳ㄱ昸晦〱挰㈲戴㝦搹戲㘵㔶愴攱㕣晣晢㔰㜳㠲搳戳㌲㤹〱戳ㄹ㍤㝤ㅣ〴散挸挵扦〷㐰㡥搶挴ㄶ搹㐷晡昹㤵㔲挶攸昶㜴㔳愹慢摢挰慥㕥㜸㜰扥换慣摦㠳㤰㉥慦挶㤴搹㜷㈶㡡挹㈸㌰㔸昸晤㘶㤴昴昸㝤㘷㥢挵〲㡣㥦㜶㠷㌵ㄸ敤㌱㡤昱㌷慡㐲㈶㉥愴㈱搳㉥戴昲㙣㙦㔴㔵㝡㈰〷搱捡戰㘵ㄴ㔸〰搸愵㔷捡㔰捤㡢ㄵㄸ㈳ち㈰搱搶㍤㡣㐳㜵㐸㉥摣㉥㥥て㜸敤挶㑡っ㘰㑤戵㉣〹㑥㘳昰扥㤰ㄸ㠵㝦扣慤㜶㍥㉥捥敦挷㈴挳㌷〵挵㌹㈰㜸戴愸㙦㐵㌶愵搸㔵㘹㤵㔵〳攷㕢愲㐴㌵戸㡥㘸㤲搰㈸㈹㤲㌱㜶戰搸㥣㔳㍡愹搶〱ち㔹㉦ㅦ慣㙤愵㕡ㅡっ㕥攸愲ㄳ㤸ㅢて㈳戱ち㜱戱㐴㔷㈲㐳㥣㌵㕡〵挹㜶㌴愷ㅢ㉡㑢摢㈶㡦搶挷搴㘶搵㠸㐹㝡㡦㉣昴㑦戵㔱㥢㥡㈵摤㌴ぢ〱㐰㠳㌸昰㑤㡤搴㥥ㅥ㥡戱㤹㘳㔲捤挱ちㄲ戱敦㐳〸㘱づっ愷攱㈲㉣㘴㜸㐳捥攴㌶㜰㤹ㄸ㝥㔶㐸〱㕥㉦〷㉥㐴㑥㡤㡤搰㈵昹㈳攰㝣摦㜲㘰㝢㔷㍥ち㔷㌴攴㡥㔲〸㠱挴㡦㡦㡢㈰搳㘱㙢摦㌴㄰ㄳ慣ㅦ㡦搴㘷㥢昲㤹改敡攰愵㉥㤱〱㔳㤳㡣㝥㑣㠵㡢昰㈶搷愱㔱㜶㕤昳戲〲㑢扥㤶愸摡㡡㑥㔵㕤㠱㤷㠸ㄲ〵㑢㝡㌷愵〶㕥慦〲㡡㜹㌷挴㜷搸㈳户㝢挴㌵捡昲㍡㔴㘲戲捣ㄲ㘹捦戹昰收㡥㙢㘹㔶㈲㠷㘱㙢昰晡㈵晦㍢晡昰搲㐷㌶搷㙦㜹㝤㠱敢挰㠷㕢㕥㈷㝦戱ㄴ㌵攵㑢㝥㜷敦挴㌷ㅢ敦攷㝢愶㍣扤攳捥换㜸㘴㥥㤳㡡㝣㘵搰戰㔴ㅣ昴㡡づ挹㤰㘹㐰㘴㠶捦摥扤㈲搸㌹攴㍤㤹㐲戱愳ㅢ㔶ㅤ㉢ㄶ敢㌵㈹㈳㕢㌱㜸㡣搹戴㤱㜶㐱㡥搳慡敡ㄲ愶㥡挵㘲㠷㈶㘴㜵㈴愸㙣扡晦㡣ㄱ㈵㐶㐸扣ㄸ㤱戲㍡っ挳㍣ㄱ摦㑢㐵㑣㕥㠱㜹㜲㑡戶㕥攸搱扦ㄷ㕥㠱〶㘳㍥捣㉤〸㐷㌸㡥㜸㌹敦㈹㕡㌹㌳㑡捥㜵ㄱ㐰㜲㈸㠰㐲挱㌴㜹㡣て㈷㠸㕥㜹戹〷捥〹慥つ㐳㘹愷摢㡥搳〷昳㌵ㄶ敢㉢戰捦㜴㄰つ昵㡢ㄲ㐳㔷愵敦昰慤㠶挷㜸㜶搲㈹㄰㍡㕦㠹㘹㈸㤸ㄶ㈱㌳晢搸㜹㘳㈹摦昸晣㈲㙢㠳㜶㔸㌲昴ㅡ㠷㉣戸㐸㙣ㄴ㍡愹ㅣ㔷㌵㐵㌰㑡捣〲ㄲ㤵〲㠱挱搲㐱㈸㔳〴㌴㉣晣㌶〲㔴㈵㔳慦ㄸ捥ㄹ㙡㤳㤴昵㠹㈰㤸昵㔹㔵㐲ㅦ㔴〹㝤慣慡㐸㙣挷㙢㡤ㄹ㉤〱㑢敤ㄲ㠰攰扡ㄵ㈹敤挵〲㕥㍤扥ㄷㄶ〹㈴挶㜲㝣搸㔰㝣㤸㔹〲敦〶昳昸摡晣ㄸ〰㠷ㅤ㠲戰㠸㕢㠷㠷て㜶换ㄱて晣㈳愷㤸㌳㐲㡥挴攸挸ㄷ〲㌴ㅥ㜳〰㑣㥡搸昳搹挰㤷挷捦慥㠷ㅡ㤳㜲捦挶〶昰昳㕤㘸扤㘰愱っ昳〵散敡愹〴昱㠳㘸㈴㘵㔲攳〰挳㝡慡愰扡〴慡㠷㔹㜸ㄹ愶ㄷ搸挷㠷㕥挳㍥㔱㤵㈱㡤〷戱㌴ㄳ㐵つ㡡㔹㈸㘶愳愸㐵㌱〷挵挵㈸收愲戸〴挵㍣ㄴ㤷愲㤸㡦㘲〱㡡㌰㡡〸㡡㈸㡡ㄸ㡡㍡ㄴ㜱ㄴ昵㈸ㅡ㔰㈴㔰㉣㐴㜱ㄹ㡡㐶ㄴ㑤㈰㡡㍤〴晤㡢慤戴ㄹ㕥〶ㅥㅥ㜷改ㅢて〶㑦搳㉦攲ㄱ㈵㡤㝥ㄹ摣〲㕦㌱㠴㤸㙦散戲捦敡㔸㡡っ㥦〵ぢ昲昳搳挱扥㤸㠲〶㙣㜳㙥搴愰〵昰㑦㐳戸㜰散㡦㉢ㄸ㑡敢戱て㍥㥥㔶㄰㘳㥡愴戴愶敡慡㘸〴㤳㐰散㐱扣ㅤ㡢㉥㔷㘵㤸散〲㐴㤶㤰戳挶㈰捥㠱㥤㈸挳ㄳ挷㤵昹摡㐱ㄴ扢〹㥥ㅢ挶㕡㑦ㄲ换㘱㔹づづ㐴㑢摤搳㠱㔵㈳㍥㘷㝡ㄶ㐱搵昴㈵慡㥡搱㠳つ慡㑣㠳㜵㡡挴㍥㑣〴捤㈴㔸て㡡慡ㄶ慣敦〸户〶㝢㉦ち昵挹㝡ㅦ搹㘱挵挱戹㙢挲㝦㜸㘷挶㔷㠹㌵て㍥㍡敤㤶㑤〱㤹㍣㙥㈹昲扦㌸ㄲ戴ㅢ㥣㤲㘹搱ㄸ㙥捤㔰晢愸搵㘱㔴愸摤㘶㈹昲㐳㉤㐱攳ㅢ㐴昲㉣㠷㤲㍢慣㉢㈶摡㔶慢搳慣㜷㜷扤㈱㙦㍡㍦扡㜳捦搱㘷㔶敤晦慤㠷㙣戱ㄴ户晦晣敢㠵戵㔷㑣慣㝦昲昲ぢ㘷㤵摥扤攷㝡㠲㔶㍣㠸收㐳㌴ㄳ㘹戳ㄳ搲〳㤶攲㥡㠷敦扥㈱挰㔵㐶戶捦㌸昸摥昶㕢ㅦ扥㠷愰㉢搸㈱㙤㜴㐲扡捦㔲摣㜱换挲昷て㡣扢㌹扡攱昸昶㥤ㅦ㕤㌰攳㜳㠲晥㘴㠷昴ぢ㈷愴㝢㉣㐵敤ㄶ㙤晥扣捦㙢㈳㌷㕥晤㜲攵慥㈷㕦㍡㐸搰㈹敤㤰搶㍢㈱慤戳ㄴ㈵扦㌹昴慦捦て㠸攱慤敢㌶㌴㉦㝤㜹攷㐲㠲㥥㙤㠷戴搶〹㘹㡤愵昸㜲挶ㄷ㌳㕦晢搳摥扡〳㜷㥦㔱摢㜰㜰㙦㤴㈰㍤搸㈱慤㜶㐲扡摤㔲ㅣ扢攴㔸摢慥㥤㑤攱摢摢ㄷ㍦㝢收㠶昸㍡㠲ㅣ㘳㠷㜴慢ㄳ搲㉤㤶攲搰㐷戳㘷愵㕥摢㤴戸㜳㙣搳慢㤳㥥摦扢㥢㈰㔱搹㈱摤攸㠴㜴㠳愵㘸慡晡搱挷ㄳて㕤摡戲愹敢㙦㙦晤户昱散㔷〹戲㥤ㅤ搲㜵㑥㐸搷㕡㡡㠶搵ぢ㌶㔷㤶晥㍡扥攵晣敥扥㌷摥㥢扡㥢㈰㘵摡㈱昵㍢㈱昵㔹ち晦攱扦㙥摤昶晣㈷㤱慤愹㑦㌷摦戴改㐶㌷㔹攰㠰㤴㜳㐲㌲㉣挵摡㔷㕥㝦愰晢㥦昳敡昷晢㕣慢づ㤷㙣扤㠳㈰㜹摢捤改㙡㈷愴ㅥ㑢戱扥晥戹㉢换摤㜷搵㍤搵㜲扣晣㔷㐷㈶㌷㄰㡣〰㜶㐸㡡ㄳ㤲㙣㈹摥㝣㈶戰愸㝣敤昱昸戶挳搱搵㝢㔷㙦㑣ㄱっ㈳㜶㐸㤲ㄳ㔲户愵㐸慥㝢㈱戶扤㝡㕦攲愱搴㍦㝥㝦昴摡㉢㌶ㄲ㡣㐵㜶㐸搴〹㈹㘳㈹㉥搹昷改㈶昲改昱攸敥㍤扥㈳㉦㍥㝢敤㔷〴〳㥡ㅤ㤲攰㠴昴ㄳ㑢㜱攵攳扦㥣㝢㐳改㠱昸㡥挳换愷扣昳挹敥㌵〴愳愲ㅤ搲㜲㈷愴㘵㤶攲换扢ㅡづ㙥㙥晦㈴戶㘳捥㡥扥㜸昹㘳㑦㄰っ慤㜶㐸㤷㍢㈱㉤戵ㄴ㌷㕦㕦㌵㈱搶㌶扦㝥晦㠶敢扡ㅥ戹收搵㙡㠲昱搹づ㘹㤱ㄳ㔲㠷愵昸戸㘱捥晡㝢挶戴戵慣㙦㍣ㅣ㝣㘹搵㝥㐲㌰挸摢㈱戵㌹㈱戵㕡㡡㌷㡦㥥愷扤晢㐶㈰戲㉦昴攲㐳慦摣戶㌴㐲㌰㔳戰㐳㙡㜲㐲㙡戴ㄴ敦㙦晢昱ㄳ慢慡㌷㈶㝥㜶摤㤶㘳摡㥤攳摢〸愶ㅢ㜶㐸〹㈷愴〶㑢㜱攴搱㍦㝦㜴挱㜳㑦㈵㕥㔸戶晢挲㍦ㅥ㝡㈶㐰㌰㘷戱㐳慡㜳㐲㡡㔹㡡㘹㐷㍤㕦挷㡥晥㍤㜶摦扢晢敥摢昱挱摢晦㈱㤸昸搸㈱㠵㥤㤰ㄶ㔸㡡攸戴㤷㡢ㅦ㔹㌷扥改戶㝢敦扦昹慤户㙢㙥㉢ㅢ㐸㤹㜸㑣ㄵ收收攵戱挳扥搵づ换〷㉢昲扦愸搷挱ㄷ昲㝥㑣㄰摤昰捤㡢㘷㐹㝣〱㜷昱愹㘱つ㝣㔸挶㡢ㄳ㍦ㅦ㘶晤ㅤ㜰㐶㘶㔴㠸㠸搷㈶摦㡢〸㡤㈲㍦㔹挳㙣㉦㡥敢挸晢挴ㄸ〸㘰㌶搶戱㜱敦㠲㉦慢㤷㠷〳晦〳㤷㐲搵愱</t>
  </si>
  <si>
    <t>㜸〱敤㕡㝤㜰㕣搷㔵摦晢戴㙦戵㙦昵攱㡤㍦㥡搸㌸捤愶㐹㘸愹㥣㡤㙣挷㌸㑥挶戵愵㤵昵攱㐸㤶㘳挹㜶㈱戸摢愷摤晢愴ㄷ敦敥㔳摥㝢㤲愵㤴㘴ㅡ㈶㐳㍢㈵愱搰ㄶ㥡㔲㈸挹㤴づ㤰㄰ち〳〳㐳㌲捣㔰㈰㑣㘹㈹戴〳㔳㘸㠱㝥愴搰搲㐹ㄸ昲㐷晥㘳㘸昹晤捥㝢晢愱搵捡㤱ㄵ挳昸㡦㍣㝢㡦敥挷戹攷㥥㝢敥戹攷攳扥㤷㔰㠹㐴攲㠷㜸昸㤷㑦㤲㠵扤㌳慢㐱愸慢昹㠲㔷愹攸㔲攸㝡戵㈰㍦攴晢昶敡愴ㅢ㠴㕤㐰㐸ㄵ㕤昴〷㘶㌱㜰ㅦ搲改攲戲昶〳㈰㤹㠹㐴㍡㙤ㄹ攸㈷づ㝦搹㝡挵㘲捤㑡ㄲ〰㉢搱㥢〲㌸㔳ㄸ㥥㥥㝢〰昴㘷㐲捦搷晢㜲攷㈲㉡㐷て攷て收㡦晣昸㘰㝥㜰㕦慥戰㔴〹㤷㝣㝤戴愶㤷㐲摦慥散换㥤㕥㥡慢戸愵㝢昵敡慣㜷㔱搷㡥敡戹挱㠳㜳昶㥤㜷敤扦昳搰㈱攷挸㤱扢㝡扢㐱昷㔴㘱㜸㕣㔷ㄶ㐱敤敡搰㑣㠳收㘴㘱昸戴慦㥤慢㐳搱愴㌰㙥ㅦ搱㈵㤷㔲搳摡㜷㙢昳昹挲㌰晥户挸〳戵挳昹改㤹㘹挸戶㘲慦㔲㘸㔶㜵扡㌴㜷捥慥㉣改㔴㔵㤸㐹㔷捦搹晥㈹扢慡晢慡㘷〳㝤挶慥捤㙢搶捣敡搸㤲㕢㑥㘲㈷扢㝥慣搳㈴戱㜰昲搳㠵攱挲㠲敤㠷㐲㤲㠲ㅢ攸㠴㉤㌳攵㘳㌶〴㍦㥡ㅢ昸慡㈷搶ㄳ捥挷ㅤ戵㉣㠲っ㐰慡〷㘰㕢㍣㉡㈷挳㜲晢㔵昲㌵㘸㕡敢㈰㘲ㄹ㐵摢㈸捥ㄹ挵㤲㔱㉣ㅢ㐵㙤ㄴㅤ愳㌸㙦ㄴㄷ㡣愲㙢ㄴㅦ㌰㡡ㄷ㠱㔳㝦搲摤摤㐶晣㝣昴㉦晥攳㤱㈷㍦晢摣昸ㄳ㤷㔶㈶㥦晡㜴昹ㄹ㤳捡戵扦搳ち搶ぢ㜵㐶搷〲㌷㜴㤷摤昰晦㐷戰㜷㜴㘲㉢ㄲ㙣ぢ㉢慦㈷摣㍥㉣搰敡〷㐸㙤〳搸搱㌲戲㈱㘰昵㉡〴㑣㈱ㅢ摦戹昰㥦〷摥㌹㌳昴晣㤱㈷扡晦攴攱晦晥慥愲〲挹ㄹ扣㡥㔴戶㤳捡づ㠰戶㉤㍡愰搴㉢㌱㠵㈷愶㉥㘴昳㠵㠹㤳㉦扣昶散㍦㍤晦捣晤敦敡摤〵昴㐹攸㑣晥㤴づ慦捡挱㌲愹㉤㥢搷搰㕥㘰㥢搵㐸挱㐷㜴㔰戲愸晤ㄳ戵戲㕥㐹愱㠴㔳搱㕢㉤㜸戵㔰慦㠴㈳㜶㘸㜷㔷㑦摢扥慥㠵ㄶ㤰〶㘴㔴㔴攲挸㍥㘹慢㡦捥挴㌵㔰挸㑡戱㠵㑡㡦㌴㐴㤴ㄴ㉣㘳㔷㌲㠲改㔴㈷ㄳ㌹㙥〷ぢ愱㍤㔷搱户戶敤㌷愵㠶戳㝢㌶㜴㉢㐱ㅥ㈴挷㝣㙦㘹㤱昲扣㕡㜴㜸㝡㉤ㅥ愶搴昵〰㘲搰昹㌷㤱㜸昵㤸㜵〳晥㘴愴搳㘲㈷戶昷㠷散㘹昶昵敥㐵攵扥昸㈸㡦昸昶㈵㤸愳收〶ㅦ挸挳ㄲ㙦挶ㄶ挳ㄴ㍢㠷㥣挳捥晥晤攵㐳㠳昶㐱摢愴ㅤ戸ㄲ㤳㤲〵㝥慦㜳摥慤㤵扤㑢㜲㌸昶づ摢㠱㙥㥥㡡㠱戸㙦搸㕢慡㤵㠳ㅦ改摣㌹ㄳ摡愱摥搳摥搷㈴戲㙥搸っ捣慦づ㘴扥户戶てㄳ戵ㅡ㕡㜱愳敥ㅢ摢扡㘱㠴扤戹㡤㝢㐷㝤晤㘰愳㜷ㅤ㐷㐳㜰慢换㥡晤敢㔶ㄹ㜵㐵㝣攱㘴㝢㠱慥〹㝢〳搵搳㙥改愲昶㘷㌴㥤戲㉥换㔲㜷戱㑢㐳搳㑢㍡ㄸ㤸慥㘱愱昰〲攵户戵戶㍡㈷㔶㐲㡤㜳㔲〶扦昰㡡攱敡㉣㜵昴㉤㙢㔰愲㌹搱戱㝢㑤昳愸㔷㕡ち㜸ㅥ㝣慦戲戶㘷愸扣㙣㘳捥昲㤴㔷搶挹㘴㈲挹㈷〱㡦搳㠵〳戲慦㑤晤挵戵㤱㙥㔰昷㈳㉤㥢㑣敦㝡挳㕡攵换㥦挱晡戰㡥㡡愶㘶ㅡ敤愷愹㠵㕣㜳㕦㐹愶愳㉤㠹收㙤㔹ㄵ㘳ㄸ㘲扦㘳㘳㉥㠵㙣㘳敦晥㙦㤱つ㘳㐷扣晡ㄳ换戰㔷攳㜶慤㕣搱㝥㈷昳搲㠸挰ㄴ㌹戲㙥〴㌰㕦挲㘹摥㔰㝡昴㠸㙡㐵慤㥡㤷摣㜲戸㤰㕡搰敥晣㐲㠸㌶㐴㘹改㌴㐵㍢〶㤳昶㈲晥扥㠸㌰㙤㉦㐳㌵敢㈶㠲ㅣ挱捤〰㤹㑣㐲㙣㐶㉡㘳摤㠲㙡敡㔶㠰敥㌱㕤搳㠸挵㌲㑡㠹㐳㈲㉥晤㔱㥢㜱㐹ㅦ户摥㡥搶捣攵晡㝡〷㠰㌱㔵ㄸㅥ昱慡戶㕢㙢㥡㥣㌷㄰〰㥡昴㡦㔷敡㙥㜷㘲㑣㙦戵㐵㈷户㔷攱㕣㐵〹㘶㔷ㄷ戵㘸㔰慦㌳㙢晢昳ㅡ挱㤲㍦㌱戲搳㈹㜸扥慦㉢㌰㌵㘵㘹愰㑥㕤扦戶㌱ㄸ昵扤㉡摢搷㥤敦㘸愲㌷慤搸㌵㘷挵㡣慥㐴㥢㈵ㅢ摣搸㐶戴㠴㕦㉤㥡挳㤳㜹㜰㔳㠳搶慡ㄷ挷㕤晥捣㙦㜸捡摦戴㤱㥤戲搴挸㐶敥㠳㔸慤摢〹昲〰㤹㠴晡ち散㈵㙤收㑦愱晡愳昸㝤〱ㄶ昰〵戱㝣㠳挴摡㑦慣ㄶ慢㜷㄰昵搴㥤〰改㠲㡦㡣搷㜷㙤㤸㍤㠹愰㠹捤〰扡捤散㈱摥㍡㡣搶捣攵晡ㄴ愳㙦〶㐷搶㍤〰敡㉦㘳㤶捥愰㜲㉦㝥㝦〵㜶㙥ㄴ㤶㡥ㄲ攷㕤〴挷〰㕡搸ㅡ㘲ㅢ㡤㜱㐶㈵ㄹ摥㜵搲㥣㐶㌰捡搸㌰㌳改搹攵㔱扢㠴㐴扢㍢㑥戳搳〵慦扡㠸㄰搹捦ㄲ戳〰㌷㡥昰㘰搹㉤㙢㍦捤㠶ㄹ㈴昶㐹攴搹㐱㑡㠲愰〰戱㙦㔷挲㌴㝢搲㥤收㥡愸搳扡㌵㜶㘵慤ㄷ〷ㄳ敢攸扦㜲摦㕤挷戸挰㑣㠶㈱慢㔵㈰ㄸ〱㌰改搲慥㈸㜸㤰㙣挸㌹㕢㜳挳愰挷ㄹ㕡ち扤㔱㌷ㅣ〹挲㕥〷〰㐵戱摣㝢攴愴戵㥣搱〱攷㥣慢㉦搱戲摦戴扥ぢ㠹㜴㘱㈹〸㍤㐹ㄹ摥扡扥㝦挴㍢攵㠵㈳㙥戰㠸愴晣搶づ摤㔱捦昹〵㕤㐳㜸收挳㍦扣ㅥ㤲户戸愸换ㅤ㜸㥣昱㤶晣㤲㥥ㄸ戹ㄶ〲㍣〵扢挸㐷㐹㜸愷㙥摢搸挰戵挸㥤㈶捤㔰㜸戶ㄸ摦㐸㈶㘳㡤捡挴㤸ㅡ挷ㄲ㈷挰㘴㠰戲愹㠰㤰搹挴㌶愷戱㥤戳㙥㔸搱㍤㡥散㤸㤴搳づ㌶〸攱㜴戹摢㤹㕤昰戵ㅥ改㜳挶㝣户㕣㜱㙢㥡慡〱ㄷ捦扢㤱㐹㍤㡦搰昹戴挷敢〲慦搶攷捣晡㜶㉤攰戱愹㤵㔶户慦愹挹㌱㌱㥤㘱户〶㔵㡣㔴㠸攵㙤捥捣㠲㜷〹攷㘱愹㕡ㅢ戳ㄷ㠳㙢㘱㍢ㄱ愷搷㥦㘸㐳つ㘵ㄸ㉡㙤愴户戸㔵㉡㌵〶㝡晢㈷捦ㄶ㜲㜶ㄹ〶㈴户ㄴ㈰㠵捣ㅤㄸ捣慤㙡摢捦〵戸扡㘳攴㐹搱收散慡攷㠷敥㐳㌶挵㠹㐱㕤㠹〳㠰㐹〲ㅡ㕥㙣㜰づ愵捤〷昲㕣㐹慦摣㠶挵㌹㔰㔷㈷晢搴㠸㥣愹㤳搶㌸挷㑣〰㡣㡦㥤㥤戸㍡㔱攷捤愰戶改㝣㠲㠹㝦㝦愴㕥捣㌱愸㙤㤶㘸〹㙢敤㉡㥢㜱〴㠷摡摢摦㉣㡥㈲㈵敢㜵㈶敤㌹㕤ㄹ昵晣慡ㅤ昶㐷ㄵㅥ捣慡㕤〹攲㍥㤸攵慡㑤㜵愴㉡捦㤴散㡡㑥㡢㤵㥣㜲㙢㤶〳㈰㍡ㅢ㌷搹㉢㘸戲㔷愴愹搷㌹挳ㅣ㍢戲晣愰攵捤摢㜰㝦ぢ㔵户㤴㘶㠵㜹昰㌵愱挷㌰ぢ㤱㘱㠲㐴昱㠸㌲挳攴攴摡散㔳㜴敦㠲捤捥挳ぢ㔰㜴摣㝣㘸扢愱㔲昸愷戶㤸㠰㈵㤴㑡㥤〴㈱㙢㍥㔷㤸㍥愰敦㤸㍡㘹搱㝤㥢昴㙣㈰つ㈸㑦㔴昸㌳晦㌸ち愲攱㡡愹ㄴ㕢慤挹戸挰㡡㘲戶㐴㕦摥收ㅣ愷搰㘴㥤〲㌰ㄹ换㕣㜱㍣捡捣散㉤㔵㥡愰㜱ㅣ㐱ㅤ㐴㤷扤〱愳㤹敢搷㌷攳愲换慥敥㤶昶㌱㕦㈳扢昱㘷㜱㥦㈰㙡挰ㄱ㝢㍡昶挸愰づづ散㑤㈷ㅢ摦捡㌸㥢扢㐵挱㑥㐵㑦散㘵搳㉡昵〶摣愷ㄲ㤳晡扥㥤扦㍢昶敤㠷ㅥ㍢㐶扢㔷昷愰っ㠷户㤲愲昰戶戶㙦㑤㘲扣㡢慦ㅤ愶昰㡡挶㕤慣攸㘱摢㠷㤷昳晣挰慡搶㡢㤱攲戵㈴㑡㤱㐱戹ㄶ㑣〷昲扣挸㕣攴摢㙣㐵换攵㔲ぢ攳㔱搸〰㐳㉤㠲摣搹㜶㕤㈵敢㘶ㅡ戶㐵晦㘹晥㍥㔲㠰㉢㘴㠴㌶愳㝢㤹搷摥挵㈲敥㜳㔰攳愳捣摦〳愹㡥晣搱㔰㈶㙢㝣㍤㈴愳㌲ㄷ㙢摥愵㥡㜰㙥〶扣㌳ㄵ㡢搴摤捤㘵㌰㌷㤱攷㄰散㤴愸㑤挲㘴晥搴昱㌲㌷扡扣㘹扣扢㥡㈸攳ㄲ㉢㝥慦搲换ㄷ㔶戳㠸慤㜸㘹㥦㤶ち㐴搸㔷㍤敦昹ㄷ攷㍣敦㈲㥢晢愵ㄶ㉣㘸ㅤ昲㉤㔲㑦㌵㝡㕢挳㌲㐲挷慥慥㌵㙦㡢㘲戹戳㤳㔷㐷搱摤ㄴ昳愶慥㔱扦㈴㌵昵㍢㔸㍦㕦㠰ㅣ晢晡捦晢晤㕦㥢ㄹ昹挰戳㠳扢〷㕥慢㝥㔵㍤ㅢ㜷摣戲㘷搷ㅤ㘱晡愶ㄳ扦㘵扥㝡收㠹㐷㠷扥愱㤸昸㌱慡㑣愴捥〱散㙤搹昵扢㜳愳㐳愷捦㑣攴ㄸ搸っ㌱戰㠱搷㌰搴㙥㘰ㄹ捤㠰㐵㌱㘷捣攱㘷㥤〷㔰捣ㄸ㐵㤴敦㡥ぢ慣㈸收㠴ㅤ㡣晢㑦愰搹晡㐹㈲㌰ㄳ㘴昶㈳㡢㐸㔸㑣㑦昹挴㘷㔶㌱ㄳ㈴㡦㉡㜵〱昰〶㌲㐴㥦㤳挳㜵㙥㙥敡㘴慥㘴㉦摡㈵〸ㅤ㝤㔱㐰搵捡ㅦㄳ挸ㅣ㝥搶㝢〰ㄴ㌳挹㥢昱愳昷㉡攲捦昶㠶昷㙡㔰戱摥㡢昶捥㙥㙣昱㡦㡦㘳㍤㤱ㅢㅢ㈲ㄱ晣㉣㍢㉥戰㤲㘵㌲㐷て㤸㥡〳戸慥㌰㕣㡣昶戳慥ㄶ愹ㄲ㥡晢搱摣㜲㈱㥢ㅤ㠹挷㔸㘵ㄴ攴昵愱挹戰㝦㜳㘹〶搳摢㙣㑢敥挷㜰㉡戸捥戹㙦挹慥㐰㈲搳づ搲㐰㌶㕤ㄳ㐶㈷㈹ㄱ捡摢摢㑣づ摦づ捤戸搵㝢戵㕦搳㤵㍣㌲㈸㔹挲晤ㄷㄸ㈷戶换㘰㉤㙥扣戶㠰㤸㕢换戲㌲收慦攰㕣㙣㙥ㄶ敥㙦搳攴㜰捥㉥晣㈲㘵㘰㑣㉤捡㌰㡦〲昷㥦攱㡣挹㜸攸㜵㠳㌱ㅡ愶っ㝣㘴つ摦〱慣㔶㄰ち戳㐸搳㄰㤵㜸ㄱㄱ㜵㡢戱挲㕢敤㘴晢㔵㔸㘳㉣㡤㔷㑦㐷敢挷ㅥ㐶㝤收㤳㔸敥㠶攳搷慥㤰㘳昸愴㕣㠰㥤㔳㙥挹昷〲捦〹㜳㌳㐸〱㜳㝣㍤攳㈰㈰ㅢ㔲扦っ㡡戴扡つ慢㜹ぢ㈴㤱㘵㙣挷㤵㔹ㄷ〱晡扡戲㡣攳㈸ㄷ㡢攷挲攲㈹挸㌲慡㤳㈶㈶㐲昲㘲㔷㠹〹㘱㙤ㄱ愰晥㘴㘹㑡㠴搶㠳㈸㠰ㄶ捤㐶ㅢ㉤ㅡㄱ㘹攲晤扥扣摥㔵戴㈱㍣㐶ㄹ昵㈱㜰挷㙤㙥㙥㤷㤸〲㘲㕥〲攰戸㍥晣搴㝢〱戸㘵敡㠳㐰愶愰㔰㑥愴㘸㔵㌶㕥晤捦〲㙤晤敡㙤㡣ㄱ㡥摦㠷㐲㕦㤷㉡攳て㍤㐸敡愷㔹ㅦ慡㔴㜲㜵ㅦ㄰愴ㅥ㘶ㄳ昴㕡㝣慣㐴〸愹㐷搰戴敦扣攷㤵㠳摣戸㔷搱戹ㄳ㔵㌷攰愷ㄲ戹攸ち㉢挸㌹㥥㥦ㅢ㥢ㅤ㍡㥤㕢㍥㤰㕦愹〴㉢敡㔱戰㐱戳㝦捦攳㐳㥦㝦改昶ㅦ㑣㍣晥愹捦摣昶搸㈷㝢㉡敡晤㜱㐷晢攷〲㔹㉡慡戰昸㈸ち搶捦㤰〹挳攴㘶摤搳㜶㍣㕢㈲㠲ㄶ愳㌵搰晥㔲敤〴㕥㤲慤㔲㤴㕤戸㌵㌳㘵ㅤ㐹攳敥慤搱愲〱愰㑢攷捦㝣ㄸ㉢㜸〳㜴搶敡㌴㈹搲㤱㔸㡦〱㈸㉡ㅥ户挵攲戶㔸摣〸㡢愲㔷㉢ㅢ㐹昳㔲摣搱晥㜹㐱戶慥慦㡡㉡㑡㈹慡㘵愰㤲㜵㤹敤攷搸㐲搵散㌴摢㠳ㅢ捤戶ㄸ㜷戴㝦㡡㤰愵搶捡摥晤㈲ち搶㐷〰晡っ㐵㔵㤳㤹慢慤㌳㝦っ慤㈶户昸㥤ㅢ㙦㐵㤴ㅥ㌷摦〳㌳㘹㌲ㅤ㥡愰ㅥ㈷㝡つ换つ㠱ㄱ㜲㉢ㄵ㌱㐲扤挸㤴㝤扣㠹㥤挴㡤〶㜲㙤ㄸ敦搸换攱ㄲ㠹ㅦㅦ搴㙦㔲㉤愹㜱㜰捡㤹昶ㄱ㐰㜴㍢ㄳ〱㘲收㜲ㅡ㕦㈷㠴㐸慦㙡搷㠲㕢㠲㐵㑤㔲㜱愱扡㝣㝢㙢㙣㘸㐰㉦㜳挳搱㤴㐷晤昵慡挱〴㝢㙢㑥㈹昵㑢攰愵㕦捥㜷㈳昴㌲搴〳搸㔶戱㌴㉦ㅦ搸㉤㤶㠹㤶换晡㌸㔰慤㈷〱㔴戴〴㕣扤㝦㠲㑤搷搷㐱㐲昱㙣㔳〳㔲㥦〴搸搶ㄶ搲ㄹ慡㕣愷㍢㍥㕥晦㌲〲㜴㝦㡤攳㍦〵㄰愵昲ち㜴㝦㥤㑤㑤扡㈶㡦㔰扢慣攸慤㐶挹㐹摢㍢搷㥥ㅥ㝡㤳搹㑦㍣㝦晣㝦づ㕥ㄸ㔲㍣てㅣ摥㘸愰㈲ぢ㡦㑦愳㘰ち㡦㠶㝡㑦㥤戳㌵㉢晥㌴㌰慣摦〰㠸㔶㑣捥㍥挳愶㈶㘷㡡㈷㐲愸晤㈶ち㐹ち搲㔰敦慥ㄳ㕢戳捣摦收挸㘷〰敡㌷ㄶㄹ敢㔹㌶戵㄰攳〹㙡攵搵晣㌸ㅡ㌶慤ちち挸㍢㜰㘸攲敦〸㜹㜵㌴㔰攱㔷㠴慦㝦㑦昷ㅣ㠶㉡㙥慤ㄸつ㜲㤴晡㉣㐰㌳搶㥦挶㤲㘸昴昵㡢㐷敦㝣㘴昰挳㈷㍦㕡㝣攴挳て㝥挹㜹㐰㥤㡡㍢ㅥ㝦敡戹㐷㔷㜷ㅣ㍥昹晥㙦敥昹搳攷㑡攳㠷ㄴ㔵㠳ㅣ㔹㝦㄰ㄷ㔸㔱摣㙢㉥捡晡㐳搶戸改捤ㄹ晦〸戵收㡣搰㤰捥搹挵㔸摣戱㉥扢愰搲挸㡣捦挷〵㤹㤱㝢㈸㌳扥挰㔶㙥㘶㘳㐶㡢㌳㡡晣搵搰㐶戳ㅤ㡦㍢㈶㕥昹攲㝦㝤㍦晤攵ㄳ扦㜰昷て㥥慥晤昳晥て㈸㉡㠲捣昶戹戸㈰戳㜱㤳㘵戶㍦㘷㉢㜷扢㌹ㅢ㈵ㅡ捤㜶㜷㑣㜴㥤㌴㡦挴ㅤ㉦ㅦ敢㝡晡愹昹搲㠹て㥤扢㝦昲搵敦㝤昰㔷ㄵ㌵㐵㘶晢㝣㕣㤰搹㘴摢㐸昵慦攳㔶㠶ㅤ㔹ち㍣挹搶㉦〰㈰㈲㄰㔱戳晥㐵〰ㄹ㠷扦㔹ち㐹戰晥〶〵㘰㠹㜸㔰戴扥〴㐰㉣愱昵㌹ㄴ〴敢㙦㔱〰㤶㉣ぢ㐵敢敦〰ㅡ戴挸㤴㘰㝤㔹戰戲㘴㐷敡㕦㤱扡㈲㈳ㄷ昱㔳㜹慣㡦㥥㉡㡢㡡昵昷〰㔹昲㈴愸晦㠰〲㈶㈰㌷㠲㍡搰㡡晡㔵愲㤲㌱㐱晤挷〸㤵㉣〹敡㍢㕡㔱扦㐶㔴㜲㈷愸㕦㡦㔰挹㤷愰摥搶㡡晡㉦㘸㌵挹攲㘵摥㜲㌴慤㉤晤戹㔵攵㤷㐰戴扢㤹敡㠹摡㔲昴㌱㕣㑡敥敡㙡搷㈱㑣昱昱摥㙦愰㠱戳扤搱搲挰敤㙦㌴昱愲戰戶㍢㝡㥢挷㡦㠴㠸㌲搰㈴扡慢扤㐷昰戱㈶㉥㉢昱戶㡤㍤㙣㥤㐱戲㥢㔶㥢㐶㑣㐷㙦㜱晦㤵搴昱㈸慢㔱㤲慡攲㘶㠹㘲㝦㠳扤摣㉣ち捥晡㈶〰ㅦ搵㉣㐹㔵㜱挷〴晦㕢散攵㡥〹晥户㔱攰愳慣㐶㐹慡㡡摢㈶昸㉦戱㤷摢㈶昸摦㘱㉦ㅥ㘵㌵㑡㔲㔵摣㍢挱晦㌷ㄴ㑣㌲扢㠹愵㔲㘱户㘸㈱晦ㅤ㐳㤵慣ㅤ〵敢扢〰㝣戶攳愷㈸〳㌲㘰㝤㡦戵㙦ㄱ戰㔶挷愱㡢㔲㕣慤攰㝣㥦㌵㔹㘳㉢㡥挹㔶慥㔰㜰㕥㘶㡤敢㕡㐳㠷ㄵ㈵㙣愰搰愰㡥㜲㈲㕢㥦㑡〹〷敤摤㑡收㕣搷㉡戳戴户昶晣㉦㤳ㄷ扤攸</t>
  </si>
  <si>
    <t>Searchinger et al round 44/12 to 3.67, use 3.67 for replication</t>
  </si>
  <si>
    <t>㜸〱敤㝤㜷㝣ㅣ搵戵扦慥㙣㡤㜵搷㐵ぢ愶㥡㈶㙣㔳つ㘲㝢㌱㌱㤶㉤㜷っ㌶㤶㑤〹ㄸ㜹换慣㉤慣㘲戴戲戱㠱㠰㐳〹㈵㠴㑥㈰㠶㐰㐲㝢㐰㜸戴〴〲愶搹愶㍣㐲ぢ㈱㤰㠴㤲㠴㤲㄰㐲〹㠴㤷〲㠴㠴摦昷㝢愶散散敥慣㘴昳昲㍥㍦晥㜸愳摤愳㌹攷㝥敦戹㜷扥昷捥捣㥤戹㘷㘷敡㔴㕤㕤摤攷㔸昸㥦换㔰慥散摣扥愶搸㙦㜶户戴昵㜶㜵㤹戹晥捥摥㥥㘲换㤴扥扥捣㥡戹㥤挵晥㈱〰ㄸㅤ㥤㐸㉦㌶㜴ㄴ㍢㑦㌴ㅢ㍢㔶㤹㝤㐵㠰ㅡ敡敡ㅡㅢ㜵㍤搲户户扦㐱㐷搱捣愵㠷㔲〰㔵愷つ㡡㘱ㄴ㡤ㄴ㥡㈲㐰㌱㥣㘲〴挵㐸㡡㔱ㄴ㑤ㄴ㐱㡡慤㈸戶愶ㄸ㑤戱つ挵戶ㄴ摢㔱戰㔴扤〳挵㡥㄰㈳挶㐰㉣㘸㥢㍡㉦㝢ㅣ戶愱扤扦户捦摣慦昹㜰慢愶㤳㤲㉤搱㤶㜴㈲搴ㄲ摡慦戹㙤㘵㔷晦捡㍥㜳㔲㡦戹戲扦㉦搳戵㕦昳晣㤵搹慥捥摣挱收㥡㠵扤换捤㥥㐹㘶㌶ㄴ捤㘶㘲愹㜰㉣ㅥ㉦愴搳愹ㄱ㍢挱敦摣戶愹昳晢捣㐲昱摦攳㜱㘷㝡㥣搷㌶戵攵㔰戳晦摦攳㜱ㄷ㜸㍣愴㙤敡戴摥敥㑣㘷捦扦挵㘵〳㕢㌰㍥捤捣㜵戲愹㑤戳慦戳㘷㘹ぢ慡㕣㐶㌰戴㘴换㤴㘲㜱㘵昷ち昶㥡㌶戳慢㙢㠱㔹㤰㈶敥㥥㔶散㥦㥦改敢㉥㡥攸㈶㜳㘶㥦搹㤳㌳㡢愳扡愷慦捥㤹㕤㌶戰搸搸㝤㜸愶敦搰㑣户㌹㤴㉢㑤摤㔶摢捤捥㥢㍤晤㥤晤㙢㐶㜶㉦㉡㥡ぢ㌲㍤㑢㑤㐲ㅡ扡㘷慥散捣慢愱㐳昱愹ㅢ戲㤷㕦捤愴㠹㔰㥦敥戶㘵㤹扥㝥搱搸㜸㘱㍦慣愷㥢挸㔶㤴搵㡢㕤愹戹㈲ㄷ摢慢扤戳晢㘰戳慦挷散㘲㈱㙣挵〹ㄵ㈰㈱挸㙡〵㤷㈹㘷㜳搸㐶㙡戸扤慢㜱㕢㔸㡡戱㉢挴㡥㠷昶昶㜵愳㉢ㅥ㘲㘶㝡㈶㐵搲愹晤搲昱㍤㈶挵㐲㤱㤶愸摥つ挹扡㤹挰摤㈱〲㌳㡦㤸摦搱㌶㉢㌶㌱㍥㔱㡦㘵捡㌸〸㌵昴㔵散搰㕥挷摣愹敡㍢㌲昵ㅤ搹晡㡥㕣㝤㐷扥扥挳慣敦㈸搴㜷㉣慤敦㔸㔶摦搱㔹摦㜱㕣㝤挷㜲㘰㥣愵㜱搸戰㝡㝢昹昵㜵㠷㥦㜹搹㤳敦捦扡敡攷㝢摣搹昸捤搰㜲挵㝤㔸づ〱㝢㘰㘵㝢㙦㐵㤳ㄱ愹㘷㍡搹ㄲ搱㝢㈲㔱敦〵㘱散つ㌱捣慥愶摥㠷收㝤㈱㤴㝡ㄱ㜵㘴㍤㍢摥㘹晥慦攵㠷扣㌷㘷摤摤换㝥戹捦㌷㍥㉡㉡ㅥㅦ愴㠰晤戰戲愷户㠰㐸㉡㉤㈵㐴搳愱㤶㜰㍣㔴㕡愲㝡㝦㍡㙥㠱㌰づ㠰㜰㘹㠹㑣搴㈱愶㠴㈱㤴㝡搶㉥昲攳愷㥥晤昸挳つ愷㑥晢搱㍥晢摤搳昲㙥敦㠷つ㍣ㅡ㐵晤㕡慥戲㔳捣挰㐱㈴㤷㈹昶摢晤㤵〷戰㝦㙦㜷ㅥ扣㌷捦攸换晤敦昷㘶ㄴ昲㙦改捤㍡㑡昶㘳㄰㐶ㅣ㘲慦㠵㝤扤㉢㍡㜳㤹慥收〲㠸㉣昶㌷攷㝡㝢散㜳㐷㜳㈱㤳挳㈱扡㜹㠵搹搷摣愶ㄳ捣㤶㠴㔰敡〹扢搱㈶搵晦㝡扦摣挸㈳㕢敦㝣昷敡敢㜶扦㘶昹づ㡡攴㑢㍦㐹㘳㘵㠷戲㝥ㄲ㤶㙥ㄲ㐹戵㐴攳㝡㈲㕤ㅤ〸㘱㝣〵挲敤ㄹ搱㠹㝡ㄲ㔳づ㠲㔰㙡愳㕤挸昵摢晦敡㐲昳搴ㄵ慤㜷㡥扣敦㑦ㄷ㕤摦㝣㤴攲愱㑢ち㘹挵捡ㄸ㙦㈱戱㤶攴㝥敤晤昹㘹收慡㐹攱㤶戴㥥㠲㜴㍤ㄵ挲㘸㠳搸愱㍤戳㉡搳搳㤳㘹捥昴攴㥢㤷昶㘵㡡挵㉥慣㑤㑣㑦搴搳㠸㥢づ愱搴㝡扢搰扢㑦㍢㜰昹扥㡦扦㌱攷晢て㝤㌷㌹㝦㠷慢㝦愶㜸㌶㤴㐲㘷搲㤵户搰㐸摣摡〱愲㉤挹戸㥥㐵㔷戳㈱㡣㌹㄰敥㤶㈵㈶敡㠳㤹㌲ㄷ㐲愹ㅦ摡㠵㕣晥搲㥢㑦晦昳搳敥㌹摦戹㙣昹昸㜱戳㝥㜳愰攲搹㔶ち㌹ㄴ㉢㘵〷㥣㘸㌸㈴愵挴挲愹㤶戸㥥㐷㕦昳㈱㡣挳㈰摣㔲㘲ㄳ昵〲愶戴㐳㈸㜵慢㕤捡㔶㤱敥〷户扦晡愲㌹㍦㍣昴㡣㘳晥摣㤲㉦㉡ㅥ㜹攴㕣扦㠸攰挳愹ㅤ〱戱㤷挳㑦㜶㘵㕦て㑥㈴㌵㍢挲㤱捣㜶ㄴ㠴㔲㌷摡㘵慣㥦晦慤㙦晦戸晦㡤改ㄷ㉤扥㍦扢挳挱㠷㍣愲㌸㕡㤰㉤㌹ㅡ㉢㘵㙤㠴〳愶搳㐶㈱戴搱㌱㜴戶ㄸ挲㌸ㄶ愲㐶ㅢ㈵㈷敡づ攲㤶㐰㈸㜵㡤㕤㘸昰捤㘱挱搸摢㈷ㅦ㜲换㈳攷㕤ㅦ㠸敤㍣㔹㜱㜴㈲㠵㘶戱㔲搶㐶㠹戸㔳㘶㈴愴㜳㐸搵㜹〸挳㈴捥搹散昲㙥〱㉥ぢ挴㉤㠵㔰敡ち扢挸㐳㝥昲捡㌱㍦搸戶攵㤰扢㠳〷㥥昶㝥㜸㥦挵㡡㘳㈱㈹戲㤳慥扣摤挲摤捡㜰㑢㑣ㅦ㐷㔷㍣㥡ㅢ㕤㄰㍢晡ㄷㄹ㐶㤹摤〴昶㐰㈸㜵㤱㕤收昲㕤㜶㙤㕦扤㙢敦戴晦攸㙣㡤户㥦昵摡㔲挵愱㤷㤴戹〲㉢㘵摣㠶ㄳ㘱户搸㜴㕣ㅦ㑦㘷㝤㄰㐶ㄱ㘲㕢摦㔲㜵㍦㐱㉢㈱㤴㍡搷㉥㜱晣ㄹ㔷㠵晥戰晣㐷㜳㑥晦昹愲㕢昷敤换㥥愹㌸捥㤳ㄲ㑦挰捡㑥摥慤っ戵㐴挲づ戵㌸〱攸搵昴戶〶挲㌸ㄱ愲搶㠶㠶㈶敡㤳〸㍣ㄹ㐲愹搳敤㘲摦散㔹晢挹搵攷扥㌵敦昲慥㠷㥦戹敤昱愳㑦㔱ㅣ㔹㑡戱愷㘰愵㙣㐳㌱㔰㜴㑡㡤㠰摥㔳改㙣㉤㠴昱㜵㠸㕡愵攲挴㜳ㅡ㠱愷㐳㈸㜵戲㕤敡㑢㌳摥㌸攱扦搴㘳㌳㙦㍥㉢㍥收收㤹㝢㥥愸㌸㤴㤵㔲捦挴捡捥ㄵㅢ㥢㜰㡡挵㌰㌵愹扦㐱㜷㘷㐱ㄸ㘷㐳搴㉡㌷㍣㔱㥦㐳攰戹㄰㑡慤戴换扤㝦昶敦ㅦ㥡扡敦ㄹ㠷慥晦攷て收慤捣㑤戸㔸㜱昴㉣攵㥥㠷㤵戲慤つ挷㔳㈱愷摣㜴㐸㝦㡢捥捥㠷㌰㉥㠰愸搱㝦戱戱ㄷㄲ㜷ㄱ㠴㔲㍤㜶愱㍦㔸摢㜰摥㜳て㡦㥥㜵晦慦てㅣ㝤攱㡡挳㙦㔵ㅣ慤㑢愱㤷搰㤵㜷㘳ㄳ㉤㈹愷捣㠸扥㤴慥㉥㠳㌰扥㑤㥣㙦㑦㥡㤸㥡愸㉦㈷敥ち〸愵㤶摡㐵ㅥ㍢㙡搴㑦㔲户昶捣扣晤慣㡢㝦晢搴㡢㥢づ㔰摢㈲㔹㡡㕣㠷㤵戲㠳㕣㌸ㄴ㜳㡢っ改㉢改敢㉡〸攳扢㄰㌵捡挴ㄸ敢㙡攲慥㠱㔰㙡㠹㕤收户㔷昴㕤昳捡㑢㔷捤㝥戰改敤㌳㐶㉦晢摥㜳㡡㤷㈲㔲收昷戱㔲搶㠱挳昱㠴摢㤵挲搱戰扥㤶摥慥㠳㌰慥㠷愸㔱㉡㑥㔴㌷㄰㜷㈳㠴㔲㐷搹愵摥㜱挱㑢㘷慦扢攷扥改て扥摥摤戶昳㌷昷㥡愶戶愷ㅢ攲㙥愲戸㤹摡㉤㄰ㄳづ敤敤搹扦㝦搰戳㉥㑥挷㌸敢晥㠰㔹㙦㠵㔰慡摤㉥㘷昴㈵昱攳ㄳㅦㅦ㌷攳攱㥦ㅣ扤散㌷㌷㉣ㄹ慥㜸㜹㈵㕢㜷ㅢ㔶㉡ㄸ㜵㑦㠸搱愴扥㥤扥敥㠰㌰敥㠴愸戱㙤㌸㔵摤㐵摣て㈱㤴㥡㙢㤷㜹搰捦づ㥦㥢㥥昲昸摣ㅦ㝤㝣㕢挷慡搷挷ㅥ愵㜸㌵㈷㘵摥㡤㤵昲摥摡攲搹㐹㤲晡ㅥ㍡晢㌱㠴㜱㉦㐴慤㝤〴㡣摥㐷攰㝡〸愵愶摢愵㑥捥㌷㘴㍥敤晥捦㔹㜷㑦换㝤攷ㅦ㌷敥扥摢㠸〷㤰㝣㤸㍤㍡㥦搶㤷㌹〱愷愹搲㠵㔴愴〵㍢攵收㕣㍤攲攲戱㄰㉦㈴ぢ攱㜰㍥ㅥ捡㐴㌳つㅣ挰㙦敥挵ち㡦㠵㈳ち㐷㜴昶攴㝢㑦㤰慢㤷㥤愷㘶㡡㘶㘹昸㌷挱㑥㥢摡扢戲㈷㕦摣挹㍦戱扤㍦搳㙦㡥愹㑣㉢㌹愹捡搶㡥㙢㍢戳㈸攵敤㕡㤹敤昰㑣搷㑡㜳捡敡㑥㉢㜹㤷㡡㘴㕣搹昵㘶㙢愷捥攸㌳㡦㜷㔳慢㙡㌴〵㌷ㅡ㔶㠹敦慡慤戴㤲慣㝡㌵户㉤敢㉤㥡㍤㔲扤〹摤昳㍢㜳换捤扥㜶㤳户㈹捣扣㙣敡戶㑣戲㉦㉦㈷捣敢挱㠶攲㠲㌱㍦搶㙢㉤㑣㕦摤㙦昶攴捤㍣敡㡢〱㘷晦㥡㠵㤹㙣㤷戹㕤ㄹ挴㉡ㄳ〹㍢㤶㤹㘷昴收㔶ㄶ摢㝡㝢戰㑦㜵㤵愷㑣挹㘳挸㤷㌳昳㠷昴收㑤㕣㤱づ攵㔲愷敡㠶っ㔱慡㙥㕦扦㡢ぢ晡㉤戶㐸㐳㜸㥡㜸㈷戴昹づ攵摤慥㘵〱戶づ㕢搱㘵戲㑦搶㡦ㅦ挴㤹昸愵㥢㝤㙡〳㍤摢挴㝢㍡㐴敦㕤ㅢ㉤㜵㜴㕢敥㝦ㄷ㕣㕦㍦摡摥晡改慢㜰搹㍦ぢ㐳愵㉥戳㙦挰㍢㔲㡡㌵搲て㐲㌴㑣挵摥㕣㤳㍤㕥扡慡搵㙡㑤挳〹㥤昹晥㘵挶㌲戳㜳改㌲づ㐹㜰搷慡戱㤱搴㔶㉤晡㘱㤸昴〶㡡㡤㄰㠱㐰㥤戱〹晦敢㡣㠰㝥挴搲ㅢ㥡昱㝦换㙦㈸搴㈳㤷㤶ㅢㄸ戸捦㔴㙣攸挶㠵㘵㜱挸㄰扦慤㥣㤵㈹㉥敢㘷昷ㅣ㌰㜱っ晤㍤㑡昱ㄸ㐴挳㔸㠸㐱敦㔷㜰㙣㌷㤴户㘵㐶㜶㑦㌳ぢㄹ摣〶㤳扤㕢㘵ㅡ扡慤晢㉢搳捣㘲㑥昳㐶捣㙣散㉢慢つ慣㘱攷ㅦ搱捤摥㙦慥敥㥦㤶改捦っ敢挶㉤ㅤ戴㤲〶㘸㠲攴戲搶㤸㜳愴搸㥣摣〱㕢㠳㠷愰慣㝡扣っㄷ㠳攵〹㍢づ昶㤷扡㈱戶ㅣ㜸㈳㔰昷㥤戱ㄱ㐶㘵㐷㉦扦㌵㠳㍢㐶昹㤹㘶捦挲㌵㉢捣㈲攱㡤挶㠰㔴㔶敥㕥㜴㌶㉦㤷㕤搴摦搹㔵㙣㐱㑤㘷昶昵慥㕣昱敦昴㐳㕦晡㜱〸㘷㘹㐸愳ㄷ㙦晥㌶㠱慥扡㘱慢搸㌶ㅤㅤ㜵㡤昴㐶㡢昱〴㠴㝢戹ㄶ㥦㘸晣〴扡摣敡攵㝦㉥晡㐹㠸㠰㈶㑥㌳ㄱ㠵㝥㡥㝦戲㔸㘹つ攳愰㙣挹㉤慤〶攰㐷㜴㠳慤㠵㝤愶摣愴㙢ㄴ〵捣㡦散㍥愲户㙦㜹戶户㜷㌹晢搶㈸搱㡡换㑣戳㥦㌷扥㠶摢㌷晡攴㠶㥥㔲㐳㠶㤴摤扣昲摣㈱摢〵晥㡤㘷㈱㐶㑥改敡㙡㜶㍣ㄶ㡤㥦挲㌴〴户攰㡣攷戰戲挳摣㐵㙤捤㡢㜰㈸敥敢挷捤捦晥㌵捤慢㘲改㤶搵㕤挵搵敡〰㙣㈱敦㌹慤摥昱挸㉢㐶晥散愱㠳扦搵㜶搵敡昱户ㅣ晥㡡㙡戱ㄳ慡敥㜶敤〹㝦㍣㘳敢㥦㐳愸晤〰攳ㄱ〶敢攵㡢㝥ㄱ扡晥〵挵㉦㈱㜰㥣搰㍣㑥攰㌰昱㤲愵慡扤昰扦ㄹ㕦晤㌲挵㉢㄰㙡ㅦ〸敥愸晡㔵〸㘷㔱攳攰㥦敤㉦㙤昸ㅢ㤸摤㥢㘷㔵㙤昴ㅡ㔲〳㥡㤸敡昶㤳㌴戵㉦搲搸㠶㥡㥣㘹戲愴挹㤰摡ㄱ〵昸ㄲ戱㠳㥤㔰㜵㔷㙥㝦㘴ㄳ㈲晥挸晣摢〱收㑦挴扢㉣攳㍤㡡昷㈱㍣㐴㝣㘰愹慡〵晦㥢昱搵ㅦ㔲晣ㄹ㐲㠵㈰㠴㠸㡦戰攲㉣㙡㈴捡㜰㠹昸ぢ捣㙥㘷挶昵㐶ㄵㄷ㝦㈳㐰ㄳ㔶㈳㑤㠵㤱收挷挵㤰㕡㕣搴摢〹㔵户ぢ愳昰㌴挰㄰慥散づ摤㌶挰㤶つ攱㐶ㄴ㘶㜴㜶昵㥢㝤㜲㤶㙥㉡攰㥦㜵㐷㕤昴㤱ㅣ㤹昴攱㑥㤸㘸摢ㄴ摡㥣㍥㕣ㅡ慥㔵つ㡥慣戱挳晦つ〱扦㜴㐳㐰ㄹ〰㤶つ〳〷ㄸ㘲愱搳㔴っ〲〷〶㝢㍡ㄱ㐷㍦扥〷㘹改㐴㉤昰㕣摥挹㠸慦㍣扢挸㍣㠵㡢昷㜶㐲愲㐳戵㠷㠶散散搵㥤㤴㤹㙡づ挳ㅥ㐰攲晦つ㘲㉢愷㔵慤㐱㉣㑦㉤㥡攷㙦捤㔱㤰慥愷ㄸ〲愱㍥晢㤷㜵挴㍤ㄹ㠰昹㌰戴搴搷搵㕤㠴晦㤸㑦㈵挶愰ㄸ〶攱㌹攲㙡愸㐶〰愲挹㤹戶㘸戶扡㔸㐰愹ㄸ㜲㌶㌳昷㜰愴敢ㄱ㄰㈳㐶㐲捣㥤㘵㜶攱㠲攸摦㌳慤搹㤰㘰㈱ㄵ㕤愷㝣㘸㠶摥挳㕢㘰摢㜵户慦改挹㉤敢敢敤挱㜴㌲挷㤵㔳㜲㤸ㅢ㉣慡㡣搱㍤户户㙤㘵扦搱㍤慢ㄳ晦㐶㜴㉦㌰㔷㤸㤹晥㌶㕣敥㘲搰㍡ㄷㄳ㌱㌲㈴㥤㥤㕦晤晦㜳挸㕡挷敢ち摣㐹㈸㡤㕡㔵攵扥㙢つㅥ㙤㜲㕢愶昵㘲㠶搹㤴〹㜵㤲㙥ㄸ戸晣昸ㄲ㡥㐹㌱晢㡥摡㕤昳攷㕢づ摣攳扢户㝦㙥晦㍦ㄵ㈷㐵㔹㡣㈶㈴㙥昶㠴㑥搵昹㝡㉢攴づ㘸晡愸㍥㕦㑢㥡㑡㠲㔴昷㝣㙤㙣〷攴㄰㜴ㄷ㙢晣昲㌶昶〶摦昱换ㅦ散㠴慡搹愲㠹昰㈶攳㤷㌱㜰愴㝥㙦敦㑤㙣戸戲㐵敦捣ㅡ敤㐲戱㉢㠴㘷㙦㙡戶㔴㜵㈰昰捤昸敡摤〹ㅡぢ愱㈶㐱㤵昱换㌸㘸捥愲㕥㐵ㄹ敥昸㘵て愴戸攳ㄷ摣㠰慡攲㘳㉦〲㌴㘱㌵搲搴㐱昰散昲攱ㄹ换㍤㕦㡢㡢㥦搹〹㔵㤳㕡㔳攰㐹戸〸愱㌸昵搳㥡㕣㐴㔸㥢㈸㐵っ挲挳㐵挲㔲搵㔴㌸㙡挶㔷㈷〹㑡㐱愸㘹㔰㠵㡢㌴㌴㘷㔱㡦㝢戹㌸㄰㈹㌵㙥〸㘲㠲慣㡡㤹㐹㠰〷㌴㌳搵㐸㔳搳㔱㡥ㅦ㌳て搴㘲收㝥㍢愱㙡收㙤ㄶ㍣〹㌳㌳㔰㥣扡慦㈶㌳戳㔸㥢搹ㄴ㜳㈰㍣捣捣戵㔴㌵ㅢ㡥㥡昱搵㠷㄰㜴㈸㠴㍡ㄸ慡㌰㌳て㥡戳愸㍢扣捣ㅣ㠶ㄴ户㤷攰收㘸ㄵㄷ敤〴㘸挲㙡愴愹戹昰散挷挵㡤戵戸戸挱㑥愸㥡㈰㥣〷㑦挲挵㌱㈸㑥㕤㔷㤳㡢㘳㔹㥢づ㡡㈵㄰ㅥ㉥戲㤶慡收挳㔱㌳扥㍡㐷㔰ㅥ㐲㉤㠰㉡㕣㤸搰㥣㐵慤昳㜲戱ㄴ㈹㉥ㄷ㤸慤慡攲愲㤳〰㑤㔸㡤㌴搵づ捦㝥㕣㕣㔸㡢㡢ぢ散㠴慡㘹捣㐵昰挴㔱扦敥㘳㜱㐵㡡㝥㡡㤵ㄴ慢㈰搴㌹㌶㍦㙦〰㔵㝥㝥㕥㑤捣ㅡ㡡ㄳ㈱㍣晣㥣㑣ㅢ捦捦㌸ㅦㅦ㡥㙣捤㉣攰ㄴㅡ㑦㠵㔰㐷㐲攵ㄹㄴ戳㑤㔰㙢ㅥ㠶扦㡥挴捤㥥㑥慤㈲昱㜴攴づ㘸晡愸㈶㔱搲搴㔱愸㐱㠹㐴ㅥ㠶慤㐳昰慡㕡㈴慥戴ㄳ慡收㘹㡦㠱㈷改㔰攷挱㠹㉡摡㠴㜱ぢ换ㄶ㝤㍥换戸㠰攲㐲〸て㘱ㄷ㕢慡㕡っ㝣㌳扥晡ㄲ㠲㉥㠵㔰ㅤ㔰愵㐳㕤〶捤㔹搴㜱㈸挳㍤〴㕦㡥㤴ㅡ㠷ㅤ捣昹㔶㌱昳ㅤ挰〳㥡㤹㙡愴愹㈵㈸愷挴㑣改攲㝡㐹㉤㘶㍡散㠴慡挹攴ㅣ㍣〹㌳搷愲㌸戵戸㈶㌳搷戳㌶㌷㔰摣〸攱㘱收㈶㑢㔵㜹㌸㙡挶㔷摦㑣搰㉤㄰慡〰㔵㤸昹〱㌴㘷㔱ぢ扤捣晣㈷㔲㙡㌰攳户攳摤づ㜸㐰㌳㔳㌵㌳㤲愶㌸㤱敤挷捣㥣㕡捣捣戶ㄳ慡收扣㡦㠳㈷㘱收㕥ㄴ愷㘶搶㘴㘶㍤㙢㜳㍦挵〳㄰ㅥ㘶ㅥ戲㔴挵〹昱㘶㝣昵挳〴㙤㠰㔰摤㔰㠵㤹㡤搰㥣㐵ㅤ攴㘵收ㄱ愴搴㥡㐶昲愳收㌱攰㜱㙢ㄸ戲㥡ㅡ㐹㔳㍤㈸挸㡦㥡㔸㉤㙡愲㜶㐲搵搴晣昱昰㈴搴㍣㡢攲㔴戸㈶㌵捦戱㌶㍦愳㜸ㅥ挲㐳捤ぢ㤶慡晡攰愸ㄹ㕦晤㈲㐱扦㠰㔰晤㔰㠵㥡㕦㐲㜳ㄶ戵户㤷㥡㤷㤰㔲㘳㥡扦㙡㕦㝡〵㔸摣ち㠳慣愶㐵搲搴㑡ㄴ攲㐷换慥戵㘸搹挵㑥愸㡡ㅦ㔸つ㑦㐲换敦㔰㥣摡愹㈶㉤㙦戱㌶㝦愰㜸ㅢ挲㐳换㍢㤶慡搶挰㔱㌳扥晡㕤㠲摥㠳㔰㈷㐱ㄵ㕡摥㠷收㉣㙡㙢㉦㉤ㅦ㈰愵㔶㡦㐱㈸㐲ㄵ㌵㝦〶㍥愰㤹慢㐶㥡攲ㄵ㥦ㅦ㌵㡤戵愸ㄹ㘶㈷㔴挵㌸㥣ち㑦㐲捤愷㈸㑥㌵搴愴收㌳搶收㥦ㄴ晦㠲昰㔰㔳㔷㉦慡㕡ぢ㐷捤昸㙡〵㠳慥㠷㔰愷㐱ㅤ㑢搳㄰㘸捥愲㍥晢愷攷〰摣㠰㤴㕡搴昸摤搲ㅢ〶㝣㐰㌳㔷㌵㌵㤲愶㑥㐷㐱㝥搴㝣㠴㘲㝤㉦て晥㙣㈷㔴〵㘲㝣〳㥥㠴ㅡ㐶㉣慢て〰昳扦扤戹㌵㙢㌳㥡㘲ㅢ〸て㌵摢㔹慡㘲㠴㐶㌳扥㝡㝢㠲㜶㠰㔰攷㐰ㅤ㑢搳㡥搰㥣㐵扤攵愵㘶㈷愴搴愲〶㈱ㅤ㔵扤㘶ㄷ攰〳㥡戹㙡愴愹㜳㔱㤰ㅦ㌵慦搶愲收ㄵ㍢愱㉡㔶㠴㈱㈰㐲捤㥥㈸㑥扤㔴㤳㥡扤㔹㥢㝤㈸昶㠵昰㔰戳㥦愵慡昳攱愸ㄹ㕦扤㍦㐱扣㠱愱㉥㠴㍡㤶愶〳愰㌹㡢㝡捥㑢㑤ㄸ㈹㌵㑥㑥㝥㥤㈶ち㜸㐰㌳㔳㌵㌳㤲愶㉥㐲㌹㝥捣㍣㕥㡢㤹挷散㠴慡㠰㤶㑢攱㐹㤸昹ち㡡㔳㡦搴㘴收㈰搶㘶㌲㐵㉢㠴㠷㤹愹㤶慡㉥㠳愳㘶㝣㜵ㅢ㐱搳㈰搴攵㔰挷搲㌴ㅤ㥡戳愸昵㕥㘶㘶㈲愵〶㌳〸㡦愹敡㌳戳〱て㘸㘶慡㤱愶慥㐰㌹㝥捣摣㔱㡢㤹摢敤㠴慡戸㥢㉢攱㐹㤸㔹㠰攲搴㝦搶㘴㘶㈱㙢戳㠸攲㜰〸て㌳㐷㕡慡扡ち㡥㥡昱搵㐷ㄱ昴㔵〸挵ㄸ㥣戱㌴ㅤつ捤㔹搴昵㕥㘶ㄶ㈳愵〶㌳〸攲愹㘲愶〳昰㠰㘶愶ㅡ㘹敡ㅡ㤴攳挷捣扡㕡捣㝣挷㑥愸㡡づ扡ㄶ㥥㠴㤹㘵㈸㑥㕤㕥㤳㤹攳㔸㥢攵ㄴ㕤㄰ㅥ㘶㝡㉣㔵㕤〷㐷捤昸敡㕥㠲㔶㐰愸ㅢ愰㡥愵改㜸㘸捥愲捥昷㌲㔳㐴㑡つ㘶晣敥㑡慣〴㍣愰㤹愹㥡ㄹ㐹㔳㌷愲ㅣ㍦㘶捥愸挵捣改㜶㐲㔵〴ㄳ〳㤷攴ㅡ敢ㄴㄶ㜷㉡挵㕡㡡慦㔳㥣〶愱扥㘶戳挵㝢っ户攰㕢扡〷㝡〶㌱㘷㔲㝣〳挲挳搶搹㔰㡤㜳㘸㤳ㄹ㤴㘶㑥〲攳㜲敢㘶攴㙥挶㔷㥦换㍣摦㠴㔰っ㝥戲㉥户捥㠳㕡昳㜲敢㕢㐸摣愲愰慡慡摥㜶〱㍣〴㌴晤㔴㜳㉡㘹㡡㈱㔸㈵㑥㑢㤷㕣挷搵攲戴搳㑥愸㡡搶扡ㅤ㥥愴户㕤㠱攲搴㔲㥢㍦ㄸ换ㄷ扤㡥戵戹㤲攲㉡〸て㝦㔷㕢慡扡〳ㄹ㥡昱搵搷㄰昴㍤〸㜵ㄷ搴戱㌴㝤ㅦ㥡戳愸㘳㔱㠶㝢挹㜵ㅤ㔲㙡昴㌶扦扢ㅢ㌷〰ㅥ搰捣㔴捤㡣愴愹ㅦ愲㥣ㄲ㌳愵㑢慥㠵戵㤸㘹户ㄳ慡㘲捡敥㠱㈷㘱收㌶ㄴ愷づ慢挹捣ㅤ慣捤㥤ㄴ㜷㐱㜸㤸昹㤱愵㉡㠶㥢㌵攳慢敦㈶攸ㅥ〸挵攸戲戱㌴晤ㄸ㥡戳愸㔹㕥㘶敥㐳㑡慤ㄳ扥摦㡥㜸㍦昰〱捤㕣搵搴㐸㥡㘲㌴㥢ㅦ㌵〷搵愲㘶㤲㥤㔰ㄹ昸搶挰㐰㥡㉤〸㔸ㅡづ戸㉥ㅣ摥㘹㥥挰㥤㙢㔴〱扦搱㘹㕢㔹散敦㤵㜰㤰㤱㠵㘹扤㠷昶昶㑦敢㉣慥攸捡慣ㄹ㕤戰㔷㡥㔸㘶昶㈰㔸慢て㌱㕢ㄵ戶摥ㄵ㉢捣扣㉥戴昷慥散换㤹戳愷㝤ㄹ㠲戹愴〵ㄱ㤴愰㔴㕤扤挲昲挵攲㤳㌰㐱愰搰㝦戰搴㌵㍣っ㤷㤵㘱㈶㥥ㄹ戸搲㘴㙦㄰挰愶ㄲ愳ぢ㍢晢扢捣攱〵㐹㤷昵挶〲㔸㐴〴㕣㝥㔸㘱攱㌲㠴㕣㑣ㅢ㔹㤸搹搷㤹敦敡散㌱搹ㄸ㤸㐰收て㥦收㥡㑢ㄱ敤㌶扦户搸挹ㅦ㘵㡤㉣㉣散换昴ㄴ㔷㌰㜰㈷户㘶敢㌲㑤愶㔳ㅡち㔳㍢㝢㡡㈸㐶㕡㤱敢㑤㠵昶㘵扤㈷攰搷㠰㉢扢㝢㘶㘶㔶ㄴ扦ㄴ慤愲愴㕤㈸愴㘹㔴扤慡慦㔷㡤昵㡤㕦戴㝤㡣㐷戱㜷㡤戶挲㤲㥢搱㑦晢晢㍡戳㉢㐹㤸㤴ㄳ㠱ㅣ㑡㈱㙤㔸搷戰〱㙢〳㑣愲㜲㉡搵㡥㐱㘴㝣ㅤ敢㕡昶㐳㈱摦㔰㉦昷㈷㤶㥣㍥搵㡦愱㍡㈳ㅥ㠷㤸㌵㜳搱散㔲攴改晦攰㤷㡢つㅢ攱户㜲㙡慡戲摦戹㘱㝥摢〲㍣捡敡㐰戴戱㍦㘱扦㐴㍦愰㔶搹㈹〳〵挱戰㝦㡥㉡慤捥㐰愴搸㠸挲摣㑣搶散挲ㄴ㘴㜷愶㝦㤴愵㜰㑥㄰扦㙦㉢摡㘹㙤扤摤摤ㄹ㜶㌸㜶搶㜶晣㍣挸㙣㉣㑣㔹搹摦㝢㐸㘷㡦㉥㐰㐸慦戴㑤㤹搵㌰㘵㔶㡢㘹㐴㘱〱〳㕦㘵㥤扥㝡㤷㘶晡㍡晢㤷㜵㜷收ㅡ愹㌰㌸昵㑢搱㔳㜱㑡㤰㈹㐲㄰捡挵㌹㤲㔴㑥㡤㕡㤳㠴㘸散ㄶ㑣搳㤲㍡㌶㍥晡㜳扤㌲昰愷扥㘰㕣㈴㡥㍢㝡ㄳ㑡搵㑦挰㕢〳扥㜲㈰㘲㍤敡㍥㤴㈰㈳慥昰㠶戳ㅣ㥡搴㈳㔰搹㕢昵㑦〰攵ち扦㐳ㅦ㠵ㄸ㌰㘸㙥ㄸ〰㠱戹扤㤹晣っ〴慦昴昶つ戳㝦㘷摢㠸愶攵㠱愶㉦挸㌰挶㌶㐴挶㈲攲㜶㔵㘷摥散㙢愴愱ㅤ搳扤㐳ㄹ〰㘹㔸㙤㐸㙥敡ㅡㅡ㠶㌷晡㤵㌵摢昱㌵摥づ〸昳晥㍡㜹㜶㤵晦昷づ㑢昱㤲ぢ㥢㈵㈷愸㈷戱慥㥦攲㌶㍤〶㈳户愷〲昰㌴〱捦㐰㌴㍣㡥挴捡戶㈹㥦戶㐶摣愱〶㘸愸晣㔲㤵戱㡥㡤㠸ぢ㤴㈰挹〶搹㤰攱㥥攰㐶挳㡡㙢㙣㜴㝥晥㙡戴愳㤷㥢昹㠰㜵㜴攵㘴㌷捥ぢ㜵昵昵㐳搱搴㐶㘵㔴㔱㔵戱㜰搶摤㙥㑡搴愳摡ㄹ㔵㌰㥥㐵㡤户收捥〲晦ㅤ㥥㕦㠳㙥㐲㈲攷㘹昱㑦㤶㐰㐰㍦〷㈸收ㅡ㥥㠴㜴戶㥦摤搲㈶攸㘷㐸搵捦㐳愸㥦挳挸㌱㠰攷㡣愵㕥㠴捡戳㔶㥤昱㜳㐰㌶昷㈸愹㝥㠱ㅣㅢ昰搵㉦搰㌱㐳攳㌶攲敢㜶挹㕦挰㍡㜸㤷㘴〸ㅤ㝢愱晥㈵㥤搸㡡㘲ㅣ㥤戳ㄹ戰㍢㥢昱㉢慣敢㤷〸㝣挵ㅦ昰㌲〱慦㄰昰㉡〰㙣㙢攳㔵㘸㑤ㄵㅣ捡㍥㔳㐱攰㙦㠰〳㠱慦㐱㍡㈵㝢〸晣㉤ㅤ扦㐶挷㝦〴愰㤲挰㜷㘱戳〸㝣ㅤ㤰捤㈶㤰㤱㜴ㅢ昰搵㙦搰㌱㐳敡捡〸晣ㅤ慣㠳ㄳ昸〱戲〹㠱扦愷ㄳ㕢㔱ㅦ㘲挵搹っ搸ㅤ〲摦挲扡晥〳㠱㡣捤昳〱扣㑤挰ㅦ〹昸〸〰㈱昰ㅤ㘸㔵㥤㄰㜷㘷㌶〱㔰挱攱㝢㠰㠲挳扦㜹㝣㝢㌸㝣ㅦ愹晡㑦㄰つ散戸〳㥣慡㄰〹攰〹㤷ㅡ〵戰㔱㔸搴搳搹㡦戳〸ㅢ㜲㐶㘷㍦昶㠷ㄱ〵〸慣㑡㕣搳ㄸ㌹扢㜸㌲㑤㜰挷慣扢㔵㈷㤵つ㘲㜷慤㑥昷㡥㙡挷晢㈴㕢攳㕤捦㌰㜷㌰㤰㡣㝢㝤敡昸㘵ㅡ〸㉢㉢搲愵捥ㅡぢ慢㍤㉡㐲㝢㍣㈳〹て敦ㅣ换晣て㠶捤搲㠷㤴晥㤰摤〶㕤㔷攱㌸昶㘷慣㜳ㄴ㑤㝤攰㉥攲〹㤲攳㐹㈰挰㤱戴㘵ㅢ㘹㐷㘱捥敥㈹攲㙣ㄴ戰㌵㡣㌵㐶搹慢昳㔶昶㤷愵㘴㔶㡦戶㔳㄰㜹㍣慦〷攳挳㕣愶㉦晦㈵ㄹ㕥㘰摢慣㌱戰㡣ㄴ扥攰昵〹㥣㜰昱っち挰㌲㜹收昹㘹㑢攲ぢ㥢攰㘵㈴愹㜶挳づㅢ愹昱㘱〶搲〲搶慦愶攵㐲㜱扥㠹慢㍣㍣摢愱换ㅣ㉤ㄹ㕣㔵㑥愳扡㌰㈵㕢挴㐵㐷㍦挷㤴昶㥡散攴扡戰挰散捡昰攷㐲ㄸ〲摡㙢昳㜳晤㠸愶㜵ㅤ昰愷㐰㕦㥥搶〱㈳㐳敤ㄶ㔲搲㐶挶〰ㅤ户㝣㈳戸晦㝣挱ㄶ㐵扢ㄵ㘴昹搳㘴戵敥㍢㕣㙥㥥㕣攷慣戰㙤搱戸㡣㌰ㅣ攰㍡〶挷㔹㙦㌰㈸昷愲搱㑥㡣戲㜵㜴㤳〳搷〸挷挶㡢㥤㤱扣㈸敤敢挷敦攵昸㤸㠴㈶敥㌶㕤ㄸて昶昳㠷晦㕤㙢㐶ㄵ㘶昷攴扡㔶收㑤戹㉣㜰㡥搷㜲㜵昰愵㘸㉦㜹〰㡥搵㔶〳昰㘲㤳㌲ㅢ㑦挱㜱㝥㍦昵挵敦っ攸㡦㜸摡摢〴㙥攱挳㙡㤶㈱㘸㤶㉤㡥扡つ挰挳搶愵㤸㜱㜹㔲ちづ㘹㔵㈶ㅥ换ㄸ㍣改〶敥捡摥收㠱捤敤㥤摢换扢ちㅥ搳慣㑥换昴愵㘸㈳㙣愷㜵挰㌳っ㕣ㄸ㝤挱扤㠳㑥㜰戴㤳㝦戸〲戲晦㑦收戹〵㍢㠶㙡㐰ぢ㍣㑣愳昱ㄷ戴捥收〶㍡捡㐹㡡户〹敡㑢昷ち戰挳摢㠳戸扦挲㤳ㅡ〶㙤㈳ㅤ㉢慢捤昵摦㘱ㅤ㝣㄰挷㘸㕥㝣敡昴挷㜴㈲搹昱㥦攱扢捥ㄸ㡤㍥敤挱晣㈷挰攸㑦〹㘴㘸慦て攰ㅦ〴㝣〶搱挰ㄸ捦捡㠳㔱捤㜰搵㈱㈸愲愱㥢ㄷ㉤㡤摤扣㜸挳慥㙣攰昷㘰〸挷挵〵愰㌱扣㜱㈴㥣改㝦挲敤㌳㑦㍦㍤㠹昵㔱㕢㜹捡昷っ昴晥挵昲㍦㠷㔰㡣挷慣ㅣ㉣敦っ㥢㜰慦㜹戵㈱ぢ改昴摣㝦㔱っ搱摣〰㥢㔶愸㤳摡ㄵ摡㐶攲㥣㡢㕤㕣㐷㙥〶愷捤挸㠶てㅥ㑣㐵㈷捣捥敦敥㤰づ㘵㉣摥收㤴て㐰搲〶㠱っ晡昴〱っ㈳愰㤱㠰㜱〰挸挰㤸㡦扤慡ㅡㄸ攳晥敥㈶戸慤ㄸㄸて〷ㄴ〳攳扤㍣扥㍤㝣㡤愰敦㤱昴捤㤸捤㑡扥ㄸ愸㘹昵搵㔱㠰㙣昶挵〵㐳㍢㌷愰㔴摤㐴挷㌱㘸ㅢ愱戹ㅣ㙥〵敢攰晤㌲㠱㙣昸攰戱㕣㜴挲散晣㌲㈰搴㠷愲搱挰攸㙤〸㘴戰愸て㘰㕢〲戶㈳㈰つ㠰㜰戸㍤戴㘶攷敡捣晦㘹〰〸ㅢ昵㘱㜴㐷㘴〴愳㡣ㅦ㜵㑡昲㌰㍡㠶㈵敤挴㤲㘶〰㔰挹㈸〳㍣慤ㅥ挸扢㠲戲㔴昶㐰㠶㝦㙥㐰㡡摥㠵㑥ㄸ〷扡㤱㌸愷〷敥〶敢攰散㌱㕥ㄴㅦ㍣搲㠹㑥㤸㥤摦㐳㈰㥤㉡㝢㝡攰敥挰攸戱〴㌲愰搴〷㌰㡥㠰昱〴捣〳㐰搸摢〳㕡㔵て挴攴㡢て㕦㝢〱ち扥ㄸ㘳敡昸昶昰戵㌷㝤敦㐳摦挷〰㔰挹搷戱戰㔹㝣昱昲㔶㤶㑡扥㍡〰搹㠰ㄴ㍤㠱㑥㤶㐰摢㐸㥣挳搷晥戰づ捥ㄷ㘳㑡昱㐱昸〰㥤㌰㍢扦㌹㐸愷捡ㅥ扥づ〰㐶㠷〸㘴搰愹て㈰㑣㐰㠴〰ㄳ〰攱㉢ち慤㡡㉦㠴㝡昹昰ㄵ〷ㄴ㝣㌱づ搵昱敤攱㉢㐱摦㐹晡㘶捣攸攷慣㌳㝤㈸㥤㠶㡤愷㜷㕥捡㑣挴㍡㑦㌶㡣㈸㤵㑤挱㍦㉥㔵㠳㜰挵㕢挸ㅣ㠸ㄳ㌵搸愰㑥㌱㉣㤵〳㍢㍣昸㠸戵㤰㜲敤㤱㠵㕡〵㍢㡢户㤶摡攷㍦㠶慤㕡挷㤴㐹昰㘱攰㘷昷ㄸ搳㐹昱㙣㔸敦改㙤つ㤰ㅢ㘰搳〷〱愸ㄸ攴扡㤱捥㥤搳㕢㉢慣㠳㌷散挹挸㠶㑦㥤㥥㐲㈷㤲ㅤ晦㑦挱㥡挳㉤㝤摡㠷攲愹挰攸㌶〲㜹攳搲〷㌰㡤㠰改〴慣〵㠰愷㌸㍤〳㥡㝢㔶㍡摤㤳慤愱攴㜷㈶戳捤㘲㌶㠶愸㔶昶昱昳㘱戳ㄸ㤹つ挸㘶ㅦ㘵㉦㐰戶つ㈸㐳捦愱㘳㠶戴㙥㠴收昶晢戹戰づ㑥て㐳㕦昱㐱㍣㌹㥤㌰㍢扦㡣㝦㜵戶摥搳敦て〵㐶捦㈳昰㔲㝦挰㝣〲づ㈳㠰攱戲搲敦ㄷ㐰ㅢ攴㈸㡢㈸㔹㥦扤㘰㈱㌲㘲㉦昸㡥愷㈴捦㕥戰㠸㈵ㅤ捥㤲慥〵愰㤲㔱挶戳㕡㡣ㅥ〱挸㘶㌳㝡〳戲㙤㐰愹晡㐸㍡扥ㄱ摡㐶㘸㉥愳㕦㠵㜵㜰㐶ㄹ㌲㡢て挲㐸攸㠴搹昹㘵摣慣て愳挷〰愳ㄷㄳ挸㤸㕡ㅦ挰戱〴㜴㄰挰㌰㕢㘱㜴〹戴㐱ㄸ昵㍦慥㘴㤱ㄱ㡣摥敥㈹挹挳㘸㡥㈵攵㔹ㄲ㐳㘲㉢ㄹ㘵ㅣ慣挵愸〹挸㘶㌳捡挸搹つ㈸㔵ㄷ攸昸〱㘸ㅢ愱戹㡣㉥㠳㜵㜰㐶ㅦ㐲㌶㝣敡㜴㈷㥤㌰㍢扦て㐳晡㄰㜶ㅣ㌰㝡㌹㠱ㅢ晣〱㕤〴㜴ㄳ戰ㄱ〰㘱戴〷摡敥〳㡦〴昸㕣㉢㥦㑥扡〲㌹㐱㈹㐳㜰㥤扡㜸㈸㍤㥥㐵昵戱愸㘷〱愸愴㤴昱戳ㄶ愵㐵㐰㌶㥢㔲㐶摣㙥㐰愹㥡て㑣㔵っ扤摤〸捤愵㜴ㄵ慣㠳㔳晡〲戲攱㔳愷㑦愰ㄳ㘶攷㤷㜱扡捥㘶㜸㜶晢搵挰攸㌵〴㌲㠶搷〷㜰㈲〱㈷ㄱ挰戰㕥愱昴㘴㘸扢っ㐸愹ㅦ㥤愷㈰ㄷ攸㘴攸慥㔳㡣㠷捥㔳㔹捣㕡ㄶ挳㄰摣㑡㍡摦㠲㑤攸搴散愱戲㔴㡥ㄴㄸ㤵扢〱㈹晡㌴㍡㘱㜸敥㐶攲㥣㤱挲ㄹ戰づ㑥ㅤ挳㜸昱㐱㔸㄰㥤㌰㍢扦㡣攵㜵慡散愱敥ㅢ挰攸戳〸㘴㥣慦て攰㙣〲捥㈱㠰愱扦㐲摤戹搰〶敢㡤㠸昸昵改㡤攷㈱㈷攸㘳攸慦㔳㤴㠷扥㙦戱愸昳㔹ㄴ挳㜴㉢改晢っ戶㐱攸㘳攴敥〶㤴愰㉦愴㤳㝦㐱摢〸捤愵敦㘲㔸〷愷慦づ散㈰㈷㝥㘳㐱㈷捣㉥㉥㘰㜵慡散愱敦㔲㘰昴㘵〴㌲ㄶ搸〷昰㙤〲㉥㈷㠰攱挱㐲摦ㄵ搰〶愳捦㝦ち㘱ㅤ㜲㠲㍥㠶〰㍢㐵㜹攸扢㤲㐵㕤挵愲㠲〰㔴搲户㌵㙣㠳搰㌷ㅡ㤰つ㈸㐱㕦㑤㈷摢㐰㉢愳敦㝢戰づ㑥ㅦ挳㠱㠵扥敦搳〹愹攳㤷㌱挱㑥㤵戱敡っ㘷慥〵㐶㕦㐷攰づ晥㠰敢〹戸㠱㠰ㅤ〱㄰晡㙥㠴㌶ㄸ㝤㠸ㅣ摥㠴㔲㉡㉥㌴㙦㐲㑥搰挷㄰㘲愷㉥ㅥ晡㙥㘶㔱户戰愸㍤〱愸愴㙦㙦搸慣㘳攱て〰搹散㘳攱㍥挸戶〱愵敡㕢改㜸㕦㘸㘵㤴摥〶敢攰㤴敥㠷㙣㐲改敤㜴〲㙦昲摤ㅦ㔶㘷㌳戰敡㔰㝡〷㌰晡㑥〲ㄹ㈴攸〳戸㡢㠰ㅦㄲ㜰〰〰㐲改㡦愰つ㜲挲昶敦㤰昷㈰㈳ㄸ㡤㝡㑡昲㌰晡㘳㤶㜴㉦㑢㘲㤸㜰㈵愳〷挱㘶㜵挸㔱昴挲愵昲㜰挸㘹散つ戰敢昵㜴搲ち慤㡣扤〷㘰ㅤ㥣㍤㠶ㅡぢ㝢て搲〹扣挹㤷昱挶㍥攴㍣〴㡣㝥㤸挰㘹晥㠰つ〴㙣㈴㘰㍡〰挲摥㈶㘸㠳戰㠷愸攴㑤㈸戹愲㍦㍥㡡㡣㘰㙦戶愷㈴て㝢㡦戱愴挷㔹搲〲〰㉡搹㕢〸㥢搵ㅦ晦ぢ㤰捤敥㡦㡢㤰㙤〳㑡搵㑦搰㌱㐳㡦换ㄸ㝤ㄲ搶挱ㄹ㍤ㄲ搹㠴搱愷攸〴摥攴㝢ㄴ慣㍥㡣㍥つ㡣㝥㠶㐰挶㌰晢〰㥥㈵攰愷〴ㅣつ㠰㌰晡ㅣ戴㐱ㄸ㐵㌴昳㈶㤴㕣挱攸昳挸〸㐶㍢㍣㈵㜹ㄸ晤㌹㑢㝡㠱㈵㉤〳愰㤲搱攳㘰戳ㄸ㝤ㄱ㤰捤㘶㤴㤱捡ㅢ㔰慡晥〵ㅤ㜷㐱㉢㘳昴㔷戰づ捥㘸て戲〹愳㉦搱〹扣挹户ㄷ㔶ㅦ挲㕥〶㐶扦㐲攰ち㝦挰慢〴晣㥡〰㠶㐳ぢ愳扦㠱㌶〸愳晥㌷攷㕥㐳㐶㌰捡㤰㘷愷㉡ㅥ㐶㕦㘷㐹㙦戰愴㔳〰昸㥣㌴㙣㘲敤昵敦㤸つㅢ挱㑢晤摦㘳㥤㤷晡愷〲㈲ㅢ㠶㝦㕣慡㉦昵搷〲戱搹㤷晡㕦〷搸扡搴㝦㡢戵㤰㜲㥤㑢㝤〶㑤㙦捥愵晥ㄹ挰㔹㙤晥㌶㝣㙣㐹㜴戳㙣㐹攵晤㠰㌳攱㙥〳戶㑣晦ㄱ摥搴㌷愰㙤攴㠶㍡昷〳摥㠵㜵昰扥㜰㌶戲戱昹昵㝢㜴㈲搹昱晦㕣㔸㥤〶愰㑦晢㝥挰晢挰攸㍦ㄱ挸㔰㙥ㅦ挰〷〴㝣㐸挰㜹〰挸晤㠰㍦㐳㜳敦〷㕣攰挹收㘹搸㡦㤸敤扦㤹敤ち〰㉡㜷ㄵ〶㑤㕢戴晤〵㤰捤摥㔵慥㐴戶つ愸扢晥㉢ㅤ㌳摥摡愲挷づ搳晡㍢慣㠳搳㜳㌵戲〹㍤ㅦ搳〹扣挹昷ㅡ㔸㥤慤挷慡㐳捦㈷挰攸㑦〹晣㥥㍦攰ㅦ〴㝣㐶挰昷〱㤰㕤攵㥦搰〶搹㔵晣敦㈲㝥㡥㡣搸㔵㙥昰㤴攴㘱㤴ㄱ〴㥡搱㜰敡㌶〰㉡ㄹ扤〳㌶㘱戴昶戵〱㐳戱㌷愰〴㍤㠴㑥敥㠲㔶挶㕥〳慣㠳戳昷㈳㘴ㄳ昶っ㍡㠱㌷昹㌲㠰晢㔱㈸ㄵ㠱㘱挳㠰搱㡤〴㌲戸摢〷挰搷㕡攸〰〱㡣昷ㄶ昶㠶㐳ㅢ㙣㜴收㝦愴ㄹ㠹㥣愰敦㝥㑦㔱㘲戱愲搸㐶㘱㕤㌷㐱愸挷〰㤰㑤〸㔲戳㌷愱攱〹㔸㉢㐳搷慡挲ち挵㕦㠱〱㠶敤晤㙢扡㄰搴挹㔵㠶戲㔹㙢㥣搷㐱㐰〴㙣〸戰敢敤挳㝣攸搰捡㐷昹戸㜹ㅦ㐰挱挳户愹㜸㕡愵㘴㘳ち攳ㄷㅢ㍥昸㐷昵ㄳㄹ摤晣慣㜸改搱㜵捣挳挵搸ㅡ㔵摣收㤰捥㕣㕦㙦戱户搰摦摣㡥㜰攵㘶㍥晤戳㠰㐹搱㈹つ敦挳愳㙦㤹摣戰愱㍤㝣㌵挴㉡㍥つ㉦戰扣愷昷㠴ㅥ愹㑤㐳㤱て㐱ㄵ扥㠶つ㘳㌱㥣㉡㤵㘵ㅣ挸ぢ㌲搶㤱㤹昵㌶㤰㈳㠷〴㥦㠴㡥㑦㥤戱㉤昴㍤摡愶戶㉤攸挸ㄶ搲搱㝣㈱㤳㡤㘷ぢ㘶㉣㔷㌰㔳昱㜰㉡㤴㑡攳攵㈰挹㙣㌶㤴㑥ㅡ摢戹搰㤰ㄹ捤㠶㜲攱㐲㌶㘹㐶㘳昱㔰㍡ㅢ㡢㘷㤳昱㔴㈴ㅦぢ㠷㤳愱㔴㈸挸㌰㐴扡搷摢㈳㡦摥〱㈲昸戴㘳摡㤱愶㌱㌴㌱ㄶ㔱㔰〴〸戴攱㌹攸㥢ㅢ㈲㠸㑣㜵㉡㡢㕢攳㜹㘵づㅤ㌶慣㉡㕡愷㉡戴㤰〱扥昲㝣㐴挳搸ㄹ㜹ㅢ摥〴捤㤵㈱㍥晥㤹捡㕢㤱㤹㜹っ搰扢戲摥扢㐱〴㠲っ㉥愴捤㘸㠶扡㔵摢搴㡥昲ㄷ㝢ㄸ扢挳㍣〲㘶㤹㠸㕥㠰挷愲ㅡ㘳㘱ㄹ〵㡢㈷㤰㍡昸扣敤㐵㡦㐳愲㙥㘶ㄹ扢㐱愸ㄷ㘰㤷戶摤ㄳ㜶慥挸㤷挱㠵摣ㅦ搴㑢搸㄰昶㐲㈴㘰㤶ち㄰昶㈲昵㑢㔸搸㤳捡㝢〲㐳っ㠹搰晢㐲愲㈷晣ち㍡㍥㜵挶〴攸㔶㑦㐸攱〹搹昹㐴㌸ㄹ㐵〳挷挲搹㘴㌶㥡㈸㠴愲搱愸ㄹ㐹ㄶ㤲戹㐴挶搸捦㠵㠶㈳昹㠴㤹捦攵㑣ㄳ㉦㤰㠹愶㌳愹㔸㉥㥦㡦㈷㘲愹㔰㈲㤵㐸㥢㘶㤰㠱㡡㜴慦昷㐷ㅥ摤〲ㄱ㘴㝣愲㤸づ愰㈹㐴搳㉢㡥㠹〰㠱慡摦挰挴摥愰㥥挱㈶戰愵㠴昱ㄸ搳攳㄰㠱攰㙦㤱㈸㌶㌲慥挹慦㈶愵挱搷ㅣ㝢㥡愶扤㔸昶㥥㄰㑡攲ぢ愹㝤〵㜶㤷㐳挶ㄷち㠷㡦愰㠸㙡づ㌷挲㕡捤攱敦㤱〹㑥昰㙢㐷㐸㜰挸㠸㐲㝣敡㡣㈹搰㉤づ挳愱㘴㉣㤲㌱㜳㠹㐲㌶ㅤ㡢㐵捣㔴㌶㤶捡㘶昲戱㑣㌴㥦㐹㥢挹㥣㌱搵㠵㘶㈲搹㔸㈲㤵㑦㈶㐲改㜸㉣㤷挹㘷挲攱㑣㍡ㄹ捥愴攲昹㐲㉡ㄷ挹〵ㄹ慢㐸昷扡つ㜹昴㌴㠸攰摢㡥愹挴㈱〳ㄶ换㔱敡㍤攸挲攱㡦扤ㅣ捥愱㤷㠳㈱〲㐱㐶㈳晡㜱挸〰㐵戱捦㈳戶㠵㘵敦て搱昰㈱散㤵㝢㡣㝦㔰ㅣ挳愵㠳㥥㐸㐵搹昷戶㉡ㅣ戶㌲搳㠵昷摣捣㐳挸㑣㍦㑤㕦㠶㘰㡢愱㔶攰搲愰㠷ㅤ搹㠴愳ㄷ㜳敦慦攴愰晣愸㘱㙦㥢ㅣ㙡扥㔸攸㐶愰攱㌶戴搸收㤵挲慥㕣㍡挳㌸挷㈶㉢挴㠳㠱㠴㑣搷敤㘸㐷愷捦㌷㝣〴敢收㐷晥㌰摢㘸㥣㘳散昷㘴昱㌷〷ㄳ扡㄰〴戵ㄹ㍦昰㔸挸㔲㈵㈴㠴㜵㔸〴つ㈵搷ㄹ昸㉡㠶㠴挸㝥㜷㡢㘷扦㌳㡥〰愴收㘹㔱摤攴扢㌳㝥っ㑦挸㠶ㅦ搰㐲㘲㘷㘴㘴〸㤷㈰愳㐳㘴攵ㅦ捥ち挳㐱戸㌴㌱㠰㠳㠷㐵㔶攵摦扡〴晦〵捦㝥㝢搴攷㡥㝤㌱㙡㈹敦㡢㤱㌷挷攰㔱戰㜶ぢ㉤㠱摤㘹㈱㠴㥦摡散㕣攳㘱愷㜴㘴晦慥㉦ㄱ㐳㤱㐹㠸挸㕢㐴㌴㐰攷〶ㅢ㈶㜴敢愸㤴捦㐴ㄳ愹㜰㌸ㅥ捤㠷愳戱㔰㌸㤶挹挵㘲戱㙣㍡㤴挳㤹㍥㕣㠸㘴㡤㠲ぢ捤挴捤〴ㅥ攷ㅥ㡤㘷ㄳ愱㔸㍡㘳愶愲㤹㜰㉡㥢捦㘴挲㤹㜸㍣㤴㑤〷つ摢扤㕥㡡㍣㝡ㄹ㐴㜰㤸㘳敡愴改㌸㥡ㅡㅤㄳ〱〲㔵挳㘱㤲愳搲㈵搸っ昷挸摥挳昴㕥㠸㐰㜰〴〰昸攰〴㐸㕢改挸㍥搲戱ㄷ㘹㍦㤰〸㍥昴㑣㌵挱㉥扤㝣ㄵ散㉥㠷㕢挱㉡㍤散ㅣ㕦づ捦昲攵㜰㙢㘴㠲ㄳ㍣挹〸ㄲ㥤㘹㌴㜴攱昰㈴攸ㄶ㠷挹㔴㈶㥣捦㘷㤲㘶㈲ㅡ㡤㐵㈳㠹㑣㌸ㄹ挹㈵戳攱〸慣戱㔰㍣㙤㥣散㐲愳愱㘸㍥㔱㠸㠵捤㙣㌲㠵挳㝦㈸㤳ぢ㤹戹㄰づ敤㘸㠵㐸㈶㕥〸㙥㘳扢搷㕦㐳ㅥ㝤ち㐴㜰㕢挷㜴㉡㑤㙢㘹摡捥㌱戹㈸戵㈳㑣挲攱搷扣ㅣ㥥挱㉣㘷㐲〴㠲㘳〰挰愷㡡挳㥤ㅣ晢㌹挴㑥㈵㘲ち㌹摣〵㜶攱昰㍣搸㕤づ㜷㠳㔵㌸㉣晡㜲㜸扣㉦㠷捤挸〴㈷戸㍢て〹づ㜷㠷㉥ㅣ㕥〴摤攲㌰ㄴ㑦ㄴㄲ㠵㜴㈴ㅥ〹愵㘳愹㜸㈸ㄵ㡤㠷ㄳ昱㜸㌴ㄱづ愷㑣㌳ㄳ㌱㉥㜶愱戹㜴㌸㔴㈸㈴愲攱㘴㈲ㄶぢ㘷㤲改〸摥愳㘴㥡愱㙣㉥ㄳ㑦㘶ㄲ昱攰㔸摢扤扥〴㜹昴愵㄰挱㜱㡥改㌲㥡扥㑤搳㜸挷㐴㠰㐰搵㕥㌰〹㠷㑢扤ㅣ慥㘳晡㤵㄰㠱攰摥〰攰㔳挵攱㍥㡥晤ㅡ㘲㘷ㄳ挱挷慡愹〹戰ぢ㠷搷挲敥㜲戸㍦慣挲攱㘲㕦づ㡦昶攵戰〵㤹攰〴㡦㐱㠲〴㠷〷㐰ㄷづ晦〳扡挵㘱㈱㥣㑤㥢㠹〴㔸㠹㠴㘳㠹㜴㈲ㅤ㡦㘷愳挹㜸挲捣㐵㐲㜸㈷㠳㘹摣㔴㠲㐶ぢ㤱㜴〶攳戹㐸㈱㠲ㄱ㐶㍣㥤㡢ㄵ挲㘹戰㤹挸㠷㈳㠹㘸㈸ㄸ戲摤敢㥢㤱㐷摦〲ㄱっ㍢愶ㅦ搰㜴㉢㑤ㄱ挷㐴㠰㐰㔵ㅣ㈶攱昰㌰㉦㠷㜷㌰晤㑥㠸㐰㌰〱〰㍥㔵ㅣ㈶ㅤ晢摤挴捥㈷㘲ㅥ㌹㑣挳晥㈱戶㌴愰㘶挱㈳捦㠲捣㙤㥤捤㈶㘲㔵昸扤て㜹㕣㝥て㠴㤵㘷㌴扤㥥搶㠳ㅣ捣晤搰㠴㌱㝡㙤㠵㔵摡㘰ㅡㅣ扡愳㍣㥥㙤㘴愴㍣ㄵ搶敡㔱摥ㄴ㘴㈲㐲㍦っ㠹㌶㤸ち㥤㑢戰捤㔹㤹收慣㑣户㔷㥡㘶㘰攵㝦攷挴㌲ㄳ㥥㔹㑡攵㐱㜱㤶㘳㝦〴戵㤴昷㑦改㐵㠰愹㌹戰ぢ㔹㡦挳敥㤲㌵ㄷ㔶㈱㈲敤㈵挲扤㘴㐸晡ㄲ㜱〸㌲〹ㄱ㑦㕡㐴ㅣち㕤愸㝤ち扡搵ㄹ戳戸㘴㑣收攳〵っ㘴愳㌱㌳㤱挱摥ㄹ㌳ぢ戹㘸㍡㘷㈶挳㘶摥㌴㥥㜶愱㘱㥣㠴搲搹㕣㌸㥡㐳摦捤㘵㌲愹㑣愴㄰㑡㘶㤲㜹㡣㤶㤳戱㐲㌴㌸捦㜶慦㥦㐱ㅥ晤㉣㐴㜰扥㘳晡㈹㑤捦搱㜴㤸㘳㈲㐰愰㙡㈱㑣搲ㄹ昷挷㘶戸㈷㤶ㄷ㤸晥㈲㐴㈰戸〸〰㝣慡㌸㍣摣戱扦㐴散㘲㈲㡥㈱㠷㐷挲㉥ㅣ扥ち扢换攱㔷㘱ㄵづ挷昹㜲戸扢㉦㠷㐷㈳ㄳ㥣攰昷㔳㤰攸㑣挷㐰ㄷづ㕦㠷㙥㜳ㄸ〱㙢愱㝣㉡㠲敢㠳㔸㌶㤳㑤攱㉤㠰搸㔹㜱㘹ㄵ㐹挶㜱㍤㘶扣攱㐲ㄳ戹㐴㌶㡦挳㘷㌸㡡慢㡢㙣ㄸ㜴攲っ㙥攲ㄴ㔴㐸㘵㔳㠵㜰㌲戸搸㜶慦摦㐴ㅥ晤㍢㠸攰戱㡥愹挴㘱㠷㘳㈲㐰愰㉡ぢ㤳㜰戸扤㤷挳㜷㤸晥㉥㐴㈰㤸〳〰㥦㉡づ昳㡥晤〳㘲昳㐴攴挸㘱〱㜶攱昰㈳搸㕤づ㤷挱㉡ㅣ㡥昴攵㜰戸㉦㠷㥤挸〴㈷㜵晡㙦㤰攰昰㌸攸挲攱摦愱摢㈷ㄶ搳〴㈱戹㝣㈱ㄹ㑢挷昲戹㘴㍡㥦㠸㘵ぢ搱㔸㈶㤴㈹㐴㜱捡㌶㍥㜶愱昱㜴㈱㙦㐶㔲戱愸ㄹ捥挴㜰搱㤵つ㈷戲㤱ㅣ㉥㘱㜱戵㕢㐸挷搲挱攵戶㝢晤〹昲攸㑦㈱㠲㕤㡥改ㅦ㌴㝤㐶㔳户㘳㈲㐰愰㙡〵㑣挲愱昲㜲㠸㥦昳攰挶㈰㐴㈰㜸㍣〰昸㔴㜱搸攷搸ㅢ㠸㕤㑥挴㜱攴戰ㅦ㜶攱戰ㄱ㜶慥㌰戳㕡〵㈹ㅣ晥晤㔳捦㐱捤摤㤷晦ち㙢昵㐱敤〴㘴㐲㐵昱㐴㘴戸〲㠷慢愱ぢ㠷㈳愱㕢ㅣ挶捣㜰㌸ㄲ〵ㄵ〵㕣慦㐶㐳愱㔴㉣㘹㈶㤳戹㜰㍡㥦㑤愵㤲㜱搳ㄸ攵㐲昳㤹ㄸ㠶㐰攱㐸㈶㤲换挷㈲㌱摣晡挱摢戵搲㠹㉣晡㘲㈸㤳㑦㘶㠲㙢㙣昷扡〹㜹㜴㄰㈲㜸愲㘳㉡昵挳㤳ㅣㄳ〱〲㔵愷挰㈴ㅣ扥㡢捤㜰昷攵敤㤸扥㍤㐴㈰㜸㉡〰昸㔴㜱戸搶戱敦㐴㙣ㅦㄱ㝣㡥㥣㍡つ㜶攱㜰㔷搸摤㝥㜸〶慣挲攱敢扥ㅣ晥搶㤷挳㌳㤱㐹㌸ㅣぢ㔷攰昰ㅢ搰㠵挳㜱搰㉤づ㤳㤹㕣㈲ㅤ㌲昱㐲愴㙣㍥㠶ㅢ㘳搹㌴捥戳搱㕣愱㄰㡦㐷愲㘶㍡㙤㡣㜷愱搹㔴ㅥ㘷昱㕣愴㔰挸㠴㘲戹㌰晡㙤㍡㤴挸攵ち戹㑣㌶㠹づ㥣〹㥥㘵扢搷㝢㈰㡦摥ㄳ㈲㜸戶㘳㉡㜱㜸㡥㘳㜲㔱敡㍣㤸㠴挳ㄷ扤ㅣ敥㐷㉦晢㐳〴㠲摦〲〰㥦㉡づ捦㜷散㘱㘲昹㤸㌸㜹ㄵ㥤扡㄰㜶攱㌰〶扢换攱挵戰ち㠷㑦昹㜲昸ㄳ㕦づ㉦㐱㈶攱㌰〵㔷攰昰㔲攸挲㘱ㅡ扡挵㘱㉥ㅦ捦攴挳㠹ㄸ㍡㔳㌶㤶挳㙥ㅤ㑦㐵愳改ㄴ㠶摢愹㜸㌴㤷捥ㅢㄳ㕤㘸㌸ㅡ挲㝢㡢㘳搱㘸㈶㥡㡢㐵攲㠹㙣㈶ㄹ㌲搳㤱㘴㉥ㄷ㠹挶攳挹㐸昰㌲摢扤㍥㄰㜹昴㔷㈰㠲摦㜶㑣愵㝤昹㜲挷攴愲搴㍡㤸㠴挳㠷扤ㅣ㑥愵㤷㌶㠸㐰昰㑡〰昰愹攲昰㉡挷㍥㤳搸戵㐴㥣ち愱慥㠶㕤㌸㥣〳扢换攱昷㘰ㄵづ敦昶攵昰㠷扥ㅣ㝥ㅦ㤹㠴挳㐳攱ちㅣ㕥ぢ㕤㌸㥣〷摤攲㌰ㅦ㌱愳挹ㄴづ㘹㈹㕣㠷㈴㔲昱㑣㌸㙥㐶搰搵㜰〹ㄸ㡦挷昲㘱㘳扥ぢ㉤攰㑣㔳〸ㄷ愲㠹〴〶㠹㠹㔴㈱㥤㉦愴㠱ぢ挵㔳愹㔸ㅡ户㠰㠳搷搹敥昵㘱挸愳ㄷ㐰〴慦㜷㑣㈵づ㙦㜰㑣〴〸㔴摤〴㤳㜰㜸戳㤷挳㈳㤹㝥ㄴ㐴㈰㜸㌳〰昸㔴㜱㜸㡢㘳㕦㑣散㔹㐴㝣㠳ㅣ摥ち扢㜰戸〴㜶㤷挳摢㘰ㄵづ慦昱攵昰扢扥ㅣ摥㡥㑣挲㘱ㅥ慥挰攱ㅤ搰㠵㐳ㄳ扡挵㘱㍣ㅦ捥攱㍥㘷㉡㤲㡡ㄶ㘲昹㔸㍣㤵挸攰㝡㈴㠵㜷摤㠵昰挶㘲㌳㙡ㄴ㕣㘸づ慦捦づ㠵愲戱㜴挴㡣挷㜰㑤㤸㑡收㈲戸㉦㕡㌰㜱昵㤲挵摤搴攰㥤戶㝢扤ㄴ㜹昴㌲㠸攰㕤㡥愹戴㉦晦搰㌱ㄱ㈰㔰㜵て㑣挲攱㈵㕥づ昹㐲㜲摤ぢㄱ〸晥ㄸ〰㝣慡㌸扣搷戱ㄷ㠹攵ㄳ敡攴㤵㠷㙡㍤散挲攱㉡搸㕤づㅦ㠰㔵㌸㍣挷㤷挳戳㝣㌹㝣㄰㤹㠴挳ㄳ攱ちㅣ㍥〴㕤㌸㍣〹扡挵㘱㌴㘷ㄶ昲搱〴㉥㐲㜰㌷㌴ㄴ挵㔵㕣㈶㔱〸㈷愲㤹ㄸ昷搷㘸捡㌸搹㠵收捤㔸㌲ㄲ挲ㄹ愵㄰挷㍤搳㝣㉡㤵捦挶㘰㈹攴挲挹㙣㉥㥢㉥〴ㅦ戶摤敢慦㈱㡦㍥〵㈲戸挱㌱㤵㌸摣攸㤸〸㄰愸㝡ㄴ㈶攱昰㙢㕥づ捦㘰晡㤹㄰㠱攰㘳〰攰㔳挵攱攳㡥晤ㅣ㘲昹㉣㍢㜹㠷愳㝡〲㜶攱昰㍣搸㕤づ㥦㠴㔵㌸㉣晡㜲㜸扣㉦㠷㑦㈱㤳㜰㜸㈱㕣㠱挳愷愱ぢ㠷ㄷ㐱户㌸挴㜱㉦㥣㈹㠴挲攱㜴㌲ㄲ换㘷攳改㔰㍣㤷㉤㠴㜲愱〸㐶㉦㠵㝣捣戸搸㠵㘲っ㤹挴捤ㅢ㥣慣㌱㌷㤳挱㜸㍣ㅣ捡㠷㌱㕦ㄳ捤挵㜹㥡㌱㠳捦搸敥昵㈵挸愳㉦㠵〸㍥敢㤸㑡ㅣ晥搴㌱戹㈸昵㍣㑣挲攱㔲㉦㠷敢攸攵㑡㠸㐰昰攷〰攰㔳挵攱ぢ㡥晤ㅡ㘲慦㈲攲㑡〸昵ぢ搸㠵挳㙢㘱㜷㌹晣ㄵ慣挲攱㘲㕦づ㡦昶攵昰㈵㘴ㄲづ㙦㠴㉢㜰昸㌲㜴攱昰㍦愰㕢ㅣ愲ㄳ㈵挲戸捥㈸㤸㠹㜸㉣㤳㈹愴㌳㠹㈸㐶㉥改㐲ㄴ昷敢ぢ㈱㕣㌴扢㔰㕣愴㐴㈳ㄸ㕣㈷搲ㄸ攵攴㜰攷慢㤰挶昱㌱㤵〶㍡㥢㠹挶㘳挱㔷㙣昷晡㘶攴搱户㐰〴㕦㜵㑣㈵づ㝦敤㤸〸㄰愸㝡つ㈶攱昰㌰㉦㠷㜷㌰晤㑥㠸㐰昰㜵〰昰愹攲昰つ挷㝥㌷戱搷ㄱ㜱㉤㌹晣ㅤ散ㅦ㘲㑢㜱搱っ㡦攵ㄷ捤扦㐷㥡昰㝢ㅦ昲戸晣扥〵慢㜵搱㑣敢ㅦㅤ捣晤搰挸㔸㈳扤扥ぢ慢戴挱㌴㙦ㅢ㤴㉥㥡㝤摢攰㍤㘴㤲㌶㜸ㄸ慥搰〶敦㐳攷ㄲ晣㤳戳昲㠱戳昲愱扤搲昴㘷慣晣敦㕣㌴㝦〴捦㉣愵昲愲昹扦ㅤ晢㈳愸愵扣㑢㔴摥㉡慡晥ち扢㤰昵㌸㘹㐱㐶昹晥ㅤ㔶㈱㈲敤㈵挲ㅤ㘸㈷㝤㠹昸ㄸ㤹㠴㠸㈷㉤㈲㍥㠱㉥㥤昱㈹攸㔶㘷挴㈵㕣づ户㙡㈲㔹摣㠸㡤愵捣っ挶㡣搱㉣愶㔰戳㌸挳㘴㐲昱戰昱戴ぢ挵攸㍢㘱愶昰㍥挷㙣㈲ㄲ挳㔹㥣ㄷ㠹〹㥣㙢㜲㌸㐳㥢戸昰ぢ㝥㙡扢搷捦㈰㡦㝥ㄶ㈲昸て挷㔴敡㡣㥦㌹㈶〲〴慡㜸㝦㐵㍡攳晥搸っ㜷愰晤〲搳㕦㠴〸〴戹ㄵ挰㔴㜱愸ㅣ晢㑢挴昲昱㜹昲㑡㔴㌵〴㜶攱昰㔵搸㕤づㄹ戶㈰ㅣ㡥昳攵㜰㜷㕦づつ㘴挲〷ㄷ捤㜰㠵捥挴㐰〵攱昰㜵攸ㄶ㠷㤹㑣挶㉣ㄴ㐲㠹㐴㈶ㅦ㡡㘱㕦㑥㈷㈲㤱㔴㌲ㅦ捤攲㔸㤹㉣攴ㄳ挶ㅢ㉥ㄴ㉣㈷㜳搱㐴ㄴ㍢㝢㌸ㄶ挱㔸㌱ㄶ捥ㄷㄲ㠹〸㜶㜰㈴㈵昲㐱㠶㐰搰扤㝥ㄳ㜹昴敦㈰㠲㡣㝣㄰㔳㘹㠰ㄳ㜰㑣〴〸㔴㌱愴㐱㌸摣摥换攱㍢㑣㝦ㄷ㈲㄰ㅣ〵㠰ㅦ㠷㑤㡥晤〳㘲昹愰㍤㜹挳㙢㌰〸㍢㍥㜵晡㈳搸㐷づ㘹搸〶捡㠱戵ㅦ㐶攱㤹㐲㥥㠰摦㙤㤷扤昸㜳㍡㕥攴戹㠶㥢㌰〴㡦㈱戲ㅥ摥㌳戴㝥攲ㄷ昳挵ㄹ㌰晥㕡㥦摦㠶㤱搸搶晦㠱ㅦ昶㡣搲戴ㄵ㍤㜲愶㕢晦〵ㅢ摣戰㍤㌶搷昷户攱搶愴㝡㍢㥥扦㘴戶戴㑤㑤戶㑣㕦㥤㌳扢昸ㅢ㝣捣愸㜳㉥㘷摢敥搹㐵慣攲晤㍥ぢ㝢愷挸慦挳ㄹ昵戱㤵㌳改㍥挱㜹ㅦ攵ㅥ㈵㡢昳搸〵㈷摢扣㍥㌷ㅦ摥敦㠸㈰ぢ㈴㑣攰摢㉢户㉤㘹㥥㠷ㅦ敤㔴戲攲㐹ㅢ㜸〶㠰㤹㜷㍣ㄶㄱ攳㌶戴㝥㐸搵慢㜲㘴挲㜴㕡㙦㌷㕥摤搷挲愷ㅤ搱ㅢ摥戵㍡㍢扦ぢ戶㘰㈷㥦㐷㍦㑤敤散㤷〷愷㡤㐱扡搲摢㠲ㅣ攳㙦愰挹㤸㌴㝥搶昸㜰戸㐱愳㈱㉡㝦摦㕣戳㡣㜲摡㔹㈲晢㐶㐰㝦っ㠷㡡㜱ㄸ攴㕥㘹挶㝡ㄸ㥦挲ㄶ戴ち搹㜷敦昰㠴昱㔳挷㠷㔳晢愸〶ㄴ挷㈲搹㥦〳晡㌳收摢ㄱ㘸挷愴挶搸ち晤㌶㌱㐲〲㠸捡㠹戶て㈷挳挶愵㔵㘴㕤㘳慢昳㡢扦㈶㠶㔳㐸㡥挵㙡昷㡢愷㌴扣㜶㙡攵㠳㑡㈵挷昷晡㕡ㄱ摡昶昴搳攳搷戴慡㜱挸㌱づ搶捡㔷〰搶愱㤲扥捦挸晥晣ㄳ㉢愱昲㕤㠸挱㍤攱〹ㅦ㍣昰ㅢ㥤㘹攴㄰戵㉦ㄴ敥㝡敡㥦挸挱晥㉥㕤㜴㈸ㄲㄵ挳ㄹ㉣慡㈶㘰つ扦搲㤷昶㤸㌱㍥ㅣ㔱㥦〰㑣㌶㉣㘲ㅢ㠹㙥㜱搱っ㥤㌰〲戰㠱㔸愲㍤挴晥搵捥㘷ㄱ㍢㠲昹づ〰摡㈵㌶㘴㉢㐲㙣っ捡㤶ㄱㅢ㜷㜲っ㐸㙣摤〲㡢搸戹㐷戶慡㌴㜲昸ㄱ晢愱捤㕦搵㑢㈶㍦戰ㄳ㉡摦慤ㄸ㘴挸〵㍥〸㑥挱㔶㠱搸㔶㈸㐲散晢挸攱ㄲ扢つ㌷戹つ㐹ㄶ戱っ愶㌰戶戳愸㐲㐷昷㔲昵挷㌲慡㜶㘰扥㘹㙥㍥㐶㔶ㄸ㘳㘰戳㜶㤰㠸晡扤㡤戶ㅡ㘴㘷愴㌴捤〱㘶换攸㍢搸挹㌱㈰㝤挱扥搶愵散捡搹搵慤㙡ㅥ㜲昸搱昷㥡捤㔲ㄵ㝤扦戵ㄳ㉡㕦挷ㄸ攴散㍤㍥〸㜰㐱摤㐱摦㐲㈸㜲㡡ㅤ〷㥤ぢ㤵攰㈲〷㌵ㅥ㔶扤〷愱昵敡㈸ㄸ㠵改㤷攱摣㘵㝡㉦㈴㉡捥㐴㤷敡㔷㝡〸敦㡢戵敡昷㠲㥤㔰昹敡愹攰ㄲ愷攴晤㔹攸㄰㤵㜷ち㝤摥㕢攸〱㉣㤴㤳挵㔶昳㜲㔶摡〸挳㠶㘶挲㥥㄰㔵捦〲㕣摡㙦愲㐴㜳搲搸㐲ㄷ㠸㡥挳㘶敤㌷㔱捦㝥昳愴㥤捦摡㙦㤲捣㈷昳捦昶㌱㑡ㅤ㠷慣㡥摦愶ㅥ㈸㕢搶昰扤㑥㡥〱ㅢ扥㉥摥㉡捦㥤㌹敡㉢慤㡡搳搳㈵㘲㑢捦昰㝤捣收慦慡攱ㅦ戵ㄳ㉡摦㘳ㄵ攴㠴㌶㍥㜵㝡ㄲ戶ち挴㥥〸㐵㕡㜳ㄳ㜲戸慤㌹㤹㥢捣戹㘱㡢慡㤳戰㘶㑣㠱慤㘱搲昸㤹攳㤳敡愱㌲㝥摡〸收㑣戳〵收㘴戵㌱摤〲捦〰㜸扤つ戶昶㤵㤹〴换㐴戴㐳收㕡攰㕤㌲捦㠰戲㔹㘴戲㡦愲改㕡㥢㌸㌹㉤㌹㙡㤱㈹㐷昵愷户戶捦〷晦㥡慣㌸㑦敤㐷收摤㌶㘷㔵㘴晥挸㑥愸㝣昵㔵㤰㌳摢昸攰ㄷ挶搸㉡㤰㜹㈱ㄴ㈱昳㉥攴㜰挹㥣挷㑤收㔴戲挵て攷慣㡤挳㘰戳㝡㘹㔸摤㔶㐶㔰㍢搱㤷扡攸㡢㠹㕥〴㥢搵㑢挳㥥㕥㝡㡢㥤捦敡愵㐷㌰摦㘵㐰扢㐷㜷捥㔲扢挴慥㠳戲㔹挴扡愷捤㉢㥤ㅣ戵㠸㤵ㄶ愸㑢户捡晦搷㕡㕢ㄵ㈷慦晤㠸扤挱收慦㡡搸敢敤㠴捡昷㘸〵㌹摤㡤て㘶捥戰㔵㈰昶㐶㈸㐲散戵挸攱ㄲ摢挱㑤收晣戲㐵㉣㈷戲㡤っ㙣搶㔱㍡慡慥戶〹戲㝡㕥㡥攸㕢㕣㌴攷戲つㄳ㌶㄰㡢㜳㠱㜷昷㕦㘷攷戳㠸㕤捡㝣㍦〰摡㈵㤶㔳搷㉥戱㜷㐰搹㌲㘲㌹㡤㍤㘰㡦ㄵ㐲㤷ㄴ㉤㘲昷㍥戱㔵摤㡤ㅣ㝥挴㕥㘶昳㔷㐵散愵㜶㐲攵㑢戹㠲昷挱ㄳ㍥昸㤵㌰戶ち挴慥㠷㔲㝤摣扦摦㐱昵〲愵㔷㄰㕡慦㌸㘷㉤㙤㜰〱㥣扢㙤搰㐷㜶ㅥ㐱㔲愹㝥愵攳晥戹戵敡㜷㡥㥤㔰昹扥慢攰攳㑥挹慢慤晡㍤改ㄴ㝡㤶户搰ㄳ㔹㈸攷㜲慤㠶㝦ち㙢挶挹戰攱昰㌴㘳㝣㕣㥤づ慣搳㍥〱㝤ち挱㥣搲戵挰㥣㌶㌶搶㕡攰㤹〰㥦㙡㠳慤挶㍥㡤攰㥦〲攲㌶昶㜳戶㈲㘳愴ㄷ愰㙣㔶㘳㑢ㄳ昲昰昴愲㤳愳搶㕥㘴敤㙦昵搶ㄸ改改昷㈶慢㤷㤰愳㐴㘶改㔸㝦愲捤㔹㔵㘳慦戱ㄳ㉡㕦㤱ㄵ攴ㅣ㌳㍥㜵晡㙣㙣ㄵㅡ晢㌵㈸搲㠲㈷㈰㠷摢㠲攷㜲㤳摦㐴㤲挵て㘷㡦㡤昳㉣㝥愶㠱㥦愲捤㡦戵ㄳ㥤㑦㌰攷㜶㉤㌰攷㡦㡤ぢ㉤昰㜴㠰㝢㙤戰㐵收挵㐸㘸㝡〷㤰㉤愳散㕤㈷㐷㉤捡㠴摣搶昹慤ㄶ挹戱㔶昵〱㜲昸㔱㜶㥣捤㑣ㄵ㘵㥤㜶㐲攵扢戳㠲㥣㔲挶愷㑥㕦㠱扡㠳㌲捥ぢぢ㘵㑢㤱挳愵㙣ㅤ㔹昸〴㐹ㄶぢ㝦挷㥡㜱㤵挵挲ㅣ㥣昱㜲㌶ぢㄶ㘵㔷ㄳ晣愹ぢ收㜴戱昱㍤ぢ㝣㌰挰ㅤ㌶搸愲散㕡㠲攵捥㠰㜳㝡攴㤴戰搳㤹㥢挸攴㤶㤱挹改㘱挹㌱㈰㤹敥攵搲摦㈶慢〶挰晤挸晣慡捤㔹ㄵ㤹㐷搹〹㤵㙦摢ち㜲㙥ㄹ戵慦搳㌷㘱慢㐰㈶㈷㠸㠵捣㈳㤰挳㈵昳ㄶ㙥㌲㈷㜳㉤㌲㌹㙢㙣摣㙡昱㌳ㄵ㕤慡摤收挷㈲昳㌶㠲㌹愷㙢㠱㐷ㄱ㝣㠷〵㙥〳㜸㥥つ戶挸扣ぢ〹㑤㥣攰挵㘷昰敢㐵慢㌷㘱㤷攵㙣戰攴ㄸ㤰戲搸㜷㕡㈵挷㠶㈳㕡搵㑥㠰晢㔱㌶挷㘶愶㡡戲搹㜶㐲攵㥢戸㠲㥣㑡ㄶ捡敥㐵摤㐱ㄹ攷㠳㠵戲㤹挸攱㔲戶㥥㉣㜰㔶搶㘲㠱㤳挴挶〳ㄶぢ戳挱㐲㕢ㄹぢてㄱ捣㌹㕥ぢ㍣㥥攰つㄶ㜸ㄶ挰㤳㙤戰挵敦㈶㈴㌴㜱㍥ㄷ㥦㉤愰㡣㤳扦㤲愳ㄶ㘵慦㥦戸捤㙤㌳㕦㝦㜲戲昵㈴挵晢㈶㉢捥〳晢㔱㌶搱㘶愶㡡戲戴㥤昰㘶捦摡㑦慥㍥昷慤㜹㤷㜷㍤晣捣㙤㡦ㅦ㝤㑡㤰㌳挷㐲搹ㄳ愸㍢㈸攳昴慦㔰㤶㐴づ㤷戲㈷挹挲㠱㐸戲㔸攰㥣戰昱戴挵挲挱㘰㈱㙡戳㘰㜵㥣㘷〹收㤴慥〵收慣戰昱㥣〵㥥〳昰〱㌶搸愲散㜹㈴㌴㜱晡ㄶ㥦㉤愰㡣㜳扤㤲愳ㄶ㘵昸㜹〴㤶愶㔶敢晦㤰㔶挵㘹㕦㍦捡昶戵㤹愹愲㙣ㅦ㍢愱昲捤㕤挱㌹昰㈴㤴晤ち㜵〷㘵㠷㐲ㄷ捡昶㐲づ㤷戲㤷挹〲㘷㘶㉤ㄶ㌸〵㙣扣㙡戱㌰ぢ〷慥㜱㘵㉣晣㠶㘰㑥搰㕡㘰㑥〲ㅢ慦㔹攰搹〰敦㘶㠳㉤㝥摦㐰㐲ㄳ㘷㙢昱搹〲捡㌸戵㉢㌹㙡㔱㜶晤㡡㐹㠱㕦㕥昷摣攴昷づ扢㜷搷㌳摦扤㜳戲攲㉣慦ㅦ㘵㘳㙣㘶慡㈸摢搱㑥愸㝣愳㔷㜰〹㍣〹㘵㙦愳敥愰㉣て㕤㈸摢ㅥ㌹㕣捡摥㈱ぢ㥣㠸戵㔸攰㡣慦昱㥥挵挲搴昱〹㌵摡㘶挱敡㌸㝦㈲㤸昳戱ㄶ㤸㜳扥挶㠷ㄶ戸つ攰㈶ㅢ㙣㔱昶ㄱㄲ㥡㝡〰挱㘷ぢ㈸攳㑣慥攴愸㐵ㄹ扣搵搵摤㜱㐵慢晣㕦㝢㌸㉥㌵〱昷愳㉣㘰㌳㔳㐵㤹戶ㄳ㉡㕦昵ㄵ攴㌴戰㔰昶㌱敡づ捡㌸㤷㉢㤴つ㐳づ㤷戲㑦挹〲攷㕤㉤ㄶ㑥挲㥡昱㤹挵挲っ戰㌰挴㘶挱愲散㕦〴㜳晡搵〲㜳㡡搷愸挳て㐳攴扡㌴愱㍥晦搸㝢㈳戱ㅥ〹㑤㘷〰㠲捦ㄶ㔰挶㠹㕢挹㔱㡢㌲㙢㠷摣挹愲っ㌷ㅣㄵ攷㜰晤㈸晢ㄴ搵昱扤㕤昸㠹㥤㔰昹づ戰㈰㘷㝤㠵戲㐶搴ㅤ㤴㜱敡㔶㈸晢㍢㜲戸㤴〵㤰愸㌸㠱㙡戱挰昹㕣㘳㠴挵挲㜴㔰昶摦㘵㉣㡣㈲㤸搳戱ㄶ㤸㌳扡㐶搰〲㑦〳昸〳ㅢ㙣昱扢㌵ㄲ㥡㌸昵㡡捦ㄶ㔰㜶愵㤳愳ㄶ㘵搲扢敡扥㙡㔳㠶ㄱㅢ愷㙣晤㈸㝢挷㘶愶慡㤷晤搱㑥愸㝣㌹㔸㤰㤳扣㐲搹づ愸㍢㈸攳㑣慤㔰昶〷攴㜰㈹ㅢ㐳ㄶ㌸慢㙡戱挰改㕢㘳㘷㡢㠵愹㌸㍣扤㔹挶挲慥〴㜳㜲搵〲㜳〲搷㘸戶挰㙤〰晦搶〶㕢㍢收㔸㈴㌴㜱愶ㄵ㥦㉤愰㡣搳戲㤲㘳㐰捡捥戰㜷捣㈵㑢㜰ㄱ〸戸ㅦ㘵㉦摢捣㔴㔱昶㤲㥤㔰昹搶戰㈰攷㙤㠵戲扤㔱㜷㔰戶ㅥ扡捦㐵愰㠳摡ㄷ㈸㍤㠱㔰㕣〴挲㈸散扥〰攷㉥扢晢㈳㔱㜱攲戳㔴扦搲㐵攰㑦㙢搵敦㔹㍢愱昲つ㕣㐱㑥㤵㑡晤愲㔶晤㌸摦㈹㠵㍥敤㉤㌴捥㐲㌹㌷㘹戵ㄲ㈷㐱㡤㈴㙣㌸ㄶ㑣㐳㉢㍤〱慣㌳㙥づ攸㌴挱㥣愲戴挰㥣〶㌵づ戴挰搳〱㝥搴〶㕢㑤㍡〹〹㑤㥣慦挴㘷ぢ㥡㤴㤳㥢㤲㘳挰㈶摤㘰敦〵㙢愷戶㉡捥㜳㤶㈸㉢㕤敡㍤㙣㌳㔳搵愴て搹〹㤵慦收ち㜲㘶㔴㈸㙢㐳摤搱愴慦㐱ㄷ捡ㅥ㐰づ户㥤愶㤳〵㑥㐵㕡㉣㜰捥搳㤸㘹戱㌰〷挷㠲㝢㙤ㄶ慣㘳挱㙣㠲㌹㈳㘹㠱㌹敢㘹ㅣ㙣㠱て〶昸㐷㌶搸愲散㄰㈴㌴㜱㝡ㄲ㥦㉤愰㡣㜳㤹㤲愳ㄶ㘵搶㜸昱㤳挹搶㔵昲㕢㤳ㄵ愷㌵晤㈸扢摤㘶愶㡡戲摢散㠴慡㔷㜶㜱㈲㜴戰㔷㜶昱〷搴㘶㔱摥㠵搰㠴つ㙢㈸㜰昲㙦㜸挱㌲㜳敥㔲㥥㠲摦㈵扦㤷ㅥ㠱㜷散昴㉤㌷晢收攲㐵㔲㜸戳㑥㝢㘷户晤㠳㕤扣㘰㡡㑦晦㜵摥攲愲㐵㘳㘶愳㌰慦て慦㜵ㄹ㔶㤸㕤挴戳摥昳㡤摤昳㌳晤晤㘶㕦捦㤷攱㈷㡣昸〵晢㔰昶〳捣昲捡㑢扣㝣㝦㍣晥〰㤲㝤攷〹㠵戱㤶ㄲㅦ捥昳扥敢昹㙡㥥㉦昶〳㐶愳ㅤ㕤捣㜹㘰㐴摥昳慡愹愱敡㔶㌴戱ㄵ㤷扣㔶㥥㈴㠲㕡搵攳挷㠱挰ㅢ㠷㐳っ㤹㔲散㤶攳ㅢ〴ㅥ㉡戲〹挹㈲敡ㅡ㌸㌵㕣戹㘱晣㈹晦っ㙥㜹挳〹㥤昹晥㘵挶㌲戳㜳改㌲㍣挴㜳昸㜰㙥慤戳っ攵散收㐰㌳慢摣㉤㠶㜵㜷㘴晡晡㌲㙢ㅡ扢㍢扡捣㥥愵晤换ㅡ㍢㔶㘱㈲ㄹ慦挷㐲慤ㅡㅢㅢ昵㤱昸捦愲昸㔵㥣昷愴㔷㝤ㄴ慣摣㤷挵㕡㡦ㄱて㝢慡昱㔵㔸晤㌷晦〶摦捤㍦〶㜸㘳㌱㐴捤捤㔷㥣㜶㈴〵捥愲ㅡ㘱㤰㉡㜴㈰㥦㕢戱ㄱ㡥㜵〹慣㙥挵戶㜶㉡㤶㠱搵扦㘲㔷晢㔶㉣〷扣㘶挵㝣摢㐴㜱捡慥慣㔲㍢㌸挵ㄷ扣挵敦散㔸㤷挲敡㔶㜵㉣慣㜲搸扢〲㐵昳戰户ㄵ㡡㘹慣ㅦㄲㅣ㠷〴㉥㡡㌳㔹挲㘷㈷慢㠱摦搵㑥㙣㥥㙡昲㝤㐲摦昶慤散㜲愰㡣㉥㠸㈱㜸慡扦㍣㘰愶戲ㄳ㈹㑥㡢㠹㐷戶㙡ㄳ愶昵捤ㅣ㥥ㄳ摦扣㡡㌳晤挵㝡㜵㤱攳昷摤挸㡥㥦㕢㤵㐰攷㕣挱搲改㔷挹㠳㘸搰㌱㜵ㅦ㑤㥢㠰戰㍡愷攲㡣ㅡ㠹㔸昸㥤昵慤晦㡣㉥㥥愲㌸ㄵ挶㠲㌴扢挲㔰昵㑤挷㜱㥤户搷慦愲㤷摡散㜲挶慣㡣㕤㑥㡡㐹㤳慦㐱㐶㤷㐷㑥㜹㠹昵㐴ㄶ㠵㍡㌱㐵㜱捡㐸戶昴㈴㔸晤㥢晣っ摦㑡㝤㙤攰㑡㜱戶愹慣㔲㙤㑥昱㙢扤㤵攲搴㤱㔴敡敢㕥㉢愷㕥㠴ㄵㅥㅦ㠶慡慦昹㔶攰っ㔶㠰挷〲晦㍥挷ㄹ㥡戲ち㜰ㄲ㐶㡡㍡换㕢ㄴ愷㔸挴㝡㌶㡢㜲㔸攱ㄴ㠵㔴㠰㍢挲㔰戵捡户〲摦㐴摡〰捤挲㤹㡣戲ち攴㥣愲捥昷㔶㠰㔳ㄱ㔲㠱ぢ扣ㄵ攰慤㝣改昴㉢㔰戴愷搳㉢摥扤㤷昶扡〸昰愰昴昵昶㝥扣㐵愲愷㝦慦㘲㜳扦㔲㍤扥㔵扤㠴㔵㤵慥挹㌱㘱㔵㜷㕦㘱㍢搵散敥昵慡搳昱㔱搶扤慦㜰㝤戸摤㝢ㅤ㑤㥥敥摤〷㍦摣㘴户㝢慦㜶㙡㝢ㄵ㤰晥扤㉢攷ㄴ㔶搶攵慦愶攷摡㕤晥㐴扢㈰㙥っㄷ㜵ちっ挲攲昷㤱搱敤昲愷㌹搶㙢扤搶戳㥤㑡㕤㔷戳㔲挷昸㔶敡㠶㠱㉢挵㥢敥㘵つ捥ㅢ敢㔲愹㥢扣挵㕦散㔸㙦昶㕡慦㜰㉡㜵㑢捤㑡㉤昲慤搴慤〳㔷㙡㕤㘵愵慥㜶㡡扦摤㕢晣戵㡥昵づ慦昵㈶愷㔲㜷搶慣搴愱扥㤵晡攱挰㤵攲敤攱㌲愶㜸ぢ㔸㤸扡挷㕢晣㕤㡥昵挷㕥敢扤㜶愵㌴㤹ㅡ慡㘶晡㔶㘰晤挰ㄵ㔸㕦㔹㠱㠷㥣愲ㅥ昴ㄶ戵挹戱㍥攴戵㍥㔱㕥㠱㔶摦ち㙣ㅣ戸〲扣㜵㔹挶〰㙦㑦ち〳㡦㝡㡢㝡摥戱㍥收戵晥慡扣〲㘹摦ち㍣㌱㜰〵㕥慥慣挰㙦㥣愲㥥昲ㄶ昵㠶㘳㝤摡㙢㝤摢慥㠰昱っ慣晥扢㜵挴户㔲㍦ㅤ戸㔲扣搵㔶挶ち㙦愷〹㉢捦㝢㡢晦挸戱晥摣㙢晤搸慥㤴收㤹㙣愸㥡攰㕢㠱㕦っ㕣㠱㑦㉢㉢昰㉦愷愸㤷扣㐵昱㉥㤴㔴敢㘵慦戵ㄱ㡡ㅣ㥡㕦挱㡡㍦㉢攳㝤㉢昵㙢攰〷㌸搸昱搶㔰ㄹ㉢愳㘰㤰攲㕦挳㡡㝢戰攳㝤ㅥ戱扥敥戵昲づ㡡㔴敡つ慣昸㔷㙡ㄷ摦㑡晤づ昸〱㉡㌵〶挹㘵㤵攲つㄶ㈹晥て㔸㜱㉢挵㍢㈹㘲㝤摢㙢摤ㅢ㡡㥣摤戶㐷搱摥戳ㅢ㙦㑢㐸㙤摦挱捡㜰㌹扢㔹㉦愲㔵㙡㕢摦㕡扥〷㕣昹㠹㑤晦㠹㈶捦㐹㘹㠲敤搳㍥戹㌵㌹㝥捡㑥㙥ㅦ戹㝥摣㤳摢㕦㉡晣昰㠶〸户搸㍤戹㐵㙤挷挶摦戰攲㑦慤㜶ち㉢㍢戹㝤㑣捦戵㑦㙥扣〹㔲㐶㉤㙦㜴〸㠹晦挰㡡㑢敤㈴挷晡㤹搷捡㝢〵㘴搰㍥㍡搶晢㔶攰㜳㠰〶愸〰㙦㈹㤴㔵㠰户つ愴〲昵〸昹㜷㉢挰晢〳㘲ㅤ攲戱㌶昰ㄲ㙤戳慦ㅦ㌹ㅡ昹㠲㑦㡤ㄹ㡡㐲㥢㜸戱㐵ㅦ㡤扣㌴㙢攲㐵㤶慢㈹㕥㉣戱㌲扡㠱㐸㕥晤戸㘹㑤扣敡㜱㌵挵慢ㄷ㐱ㅡ㐴昲㤲挴㑤㙢攲愵㠸慢㈹㕥㍡〸㜲ㄸ㤰㡡〳㝥搱ㅡ愹㜱慣㑦愴搶搴戰㈲摦㔵づ㈶㐰摦ㅣ㤰扢摥㥡㑥昴㙡敡㙢づ㜲㌸㤱ㅣ㈵㤷㤰㕦昷㙡㡡㈳㕦㈹㜷〴㤱ㅣ捥㤶㤰㘷㝢㌵挵㈱慡㈰㐷ㄲ挹㜱㘷〹挹昱愶慢㈹㡥㄰〵㌹ち㐸挵戱㥥㘸㑤搴搶搹㐸ㅤ愴收㙣ㄹ㠷㘸㠲搹㡡扥㌹敥㜲扤㌵㜱扣攵㙡㡡攳㈶㐱㙥㑤攴㑤摥戴㈶づ㠲㑡㐸づ㘶〴㌹㥡㐸㡥㔰摣戴㈶㡥㑣㕣㑤㜱㠴㈱挸㙤㠸攴戰挱㑤㙢攲㜰挱搵搴㝡〷戹㉤㤱て㝡搳㥡㜸㕥㉦㈱㜹捥ㄶ㥦摢ㄱ挹ㄳ戱㥢搶挴ㄳ戰慢愹㈷ㅣ攴昶㐴昲㡣改愶㌵昱㑣改㙡㡡㘷㍣昱戹〳㤱㍣㡤戹㘹㑤㍣㝤戹㥡攲愹㐹㤰㍢ㄲ挹昳㡤㥢搶昴戲㔷㔳扦㜶㤰㘳㠸攴㐹愰㠴攴挱摦搵ㄴて攲攲㜳㈷㈲㜹㘴㜶搳㥡摥昶㙡㡡〷㔲㐱敥っ愴攲㌱㤴㐸扤ぢ㌵愷挵㜹㤰ㄴ捣慥戴昲昸㈸㤸摤扣ㄸㅥ摢〴搳っ㙢ㄳて㔸愵ㄲ㜹愰㜲㌵挵㠳㤰㈰㜷㈷㤲㐷ㄶ㌷慤㠹㐷ㄴ㔷㔳摣搵愹改戱㔸㜱ㄶ挵摤㕡慣捥㝤〰愶㈸敥挲搵㔶搹㕤㤱慣换戰戲摢㔶㕡㠳摣㝤㜹㈱愸挷㘳〵户㕤戹攳㡡挷㍤戰攲㉣㡡㍢㘹㜵㥤戸㐳㔶㕢戹昳㔵㝢㤰ㅤ㡤攵㤴搵㐹㜶戸㑡㙢㤰㍢㥥搴㘹ㅦ慣愰㑥摣攵挴㘳㔹㕥敥㕥搵㔶敥㑡搵㜵攲㙥㔳㡤攵㉥㔲㡤攵敥㔰㙤㘵搷慦戶戲㥢㔷晢㘵㤷慥戶戲晢㔶㕢搹㔵慢慤搲㉤挹换〱㜶㌲㑦㐳㐱㜶㑦攱㈵㠴ㄵ昰㈲ㅤ㤳愸㌰㜴㘷〹戲㠳ち㉡㘲愱搸㌵慢㑢㘰㌷ㄴ慢户㤷〵ㅤ㐵戱㌷挸㤸攵愹扦㕢㘳㤶㈰换㐹挰ㅡ㜴㍡㠶㘲敢〸收㈷㕥㑣㡡ㄸ㔶㕢敡㤰挶ち㙡捡ちぢ昴㜱㉦昴㐰㐲㥤扡㉢㔶㔷㌰㡦㝡㌱㤳㘰㔵㉣㔷㜶㥥㠳愸戱〴搱㈶㘳愵㠱㈵㡣慦晤搳㥤搲ㅤ㕣攰㄰㌴搸㡥㐷㠲昲㕥㙥愰㝢㝡捦捡㙥昹愱㡡搱捤昷摢昷㙣㘵扦摤㜱㠲㡢搹摡戵戸搸㔱慥㐹昲散㘸扤㥤㍣㤳敤㌲〹㤹㔰㜲扡㙤㘵㡡攰挱〹㘹愹ㅢ㕢扢挲㑥〵昹敢㥦㐶戵搹挰㐶挵っ扡ㄵ㕢挹㘶㔵愵㌵㔱ㄵ戹ㄶ搲愶㄰㐱㔶㐵㥢㑡㑤㔸㘵敥㌶㙡捣捤㉦搹攵㡡㥥收戱㌶戰㠰捤愸ㄴ㌳㝥挱愱捥㜴ㄶ㈷戵㘴攱㙥昷㘰㤵愴戶戴捥昴㔴㈹挸㕡㑢㘷㥢㠵ㄵ晣㈲㡥昵ㄵ㝤戶攸㑡ㅣ㝡㝤㘱扤㉥㐸ㄷ㠲㍡搸㐲㌱㌳晢㤲㥥㑢〱㠴昲慣㔱㔵㜴㈷㠸㐳㕣㐴㘹㑤㄰㜴㈵㠸㐳㕤㐴㘹㑤㄰㜴㑥ち昵㍣〸挵散愲捤愷㐶愸㘸㠷㔱ㄳ〰昲攸〵搰㌸攰攳㔷〹㤰搶㜶慦㔵㌲搰扡搰㘳つ㌲愳㙣攱㈲慣攸挳㈹㡥㠰〸〴㤹㔷ㄲ㡥愴敤㈸㡡慦㑡〲戳㑢挲搱戴ㅤ㐳戱㤸〹つ昴㌰慥㜶㥦㤵摤㠸ㅤ㤷㙦㡡㌵扡攵ㅤ慦㈳扢慤㜷摤㑢㕡戱㐱㜶慡敡㥤㙥㙢收㥡㔰〶つ㔸㈶捡㈶㙢搵摤晢㠶摢㐹摣㕤户㜴搷㔳晣愱㈴扦愸攱慥戵㌷㠵㈵㔸扢摥收愱慣晤捥㌸ㄶ〴つ㤹摢㍥㔷㜷㤰㉦ㄶ愲㍣慢愲㉢戶〰㠹㌴㤶㄰扣〸攰㑣〹㕣㕡戵挰㙣㈹〱㘷㤹㘳攱㤴〵㌳愷㉦搴戹ㄲ扥戴㙡攱搹㤴搲捥慣㠹㌶㑢挰搲慡〵㘴㜳ぢ㤰戵搰㑢㑢挰搲慡〵㘴㤷㄰㈰㙢愰㍢㑢挰搲慡〵㘴㘷㈹ㄵ扤扣〴㉣慤㕡㐰㜶愸㔲搱摤㈵㘰㘹搵〲戲搳㤵㡡敥㉤〱㑢慢〲㙣㈲摢㍣搴攰扥㠵戵㌴㤱挷㜲ぢ㤹㉡户㤰㤲㜲ぢ户扤摣挲㡤㉣户㜰㙢捡㉤慣㜶戹㠵昵㉢戳っ晦㝦㡥慣㔴户</t>
  </si>
  <si>
    <t>㜸〱敤㕢㙢㙣ㅣ搷㜵摥扢摣ㄹ敥㕤扥㔶㤴㘴㕢戲㉤慤㉣㉡㝥㔰愶戹㝣㐸㤴ㄵ㔵㈲㤷愲挴㤸㌲㘵㤲㤲ㄱ愴づ㌳摣㥤ㄱ搷摡搹㘵㘶㘶㈹㌲㙤㘰㍢㠹敢㌴㠵㡤㈴㑤㥢戸㐵ㅡ㍢㐹㠳戶㜱㤳昴㠵戴〵㡡㈲〹㡡晣挸〳㐱㔱〴㘹㕡ㄴ㙤摡晥㜰攳㌴㉡搰愲㠵㔳挷晤扥㍢㌳晢㈶㈵搱㌲捡ㅦㄹ㘹捦㥣㝢敥戹慦㜳敦㍤攷摣㌳㤷ㄱㄱ㠹㐴㕥挷挳㌷㥦ㄸ㤱㍢收搷㕤捦戴〷㌲愵㐲挱捣㝡昹㔲搱ㅤㄸ㜷ㅣ㘳㝤㈶敦㝡㙤㘰搰ㄷ昳挸㜷戵㐵㌷晦ㅥ㌳扥戸㙡㍡㉥㤸戴㐸㈴ㅥ㤷㔱攴㤳㠷扦㘴㤸㤰㑣挹ㄸ〱戸㈲㥤㍡挰㕣㘶㘲㜶改㜱搴㍦敦㤵ㅣ昳㜰敡愲㕦换㠹愳〳挳〳挷㡥っづっㅥ㑥㘵捡〵慦散㤸㈷㡡㘶搹㜳㡣挲攱搴昹昲㔲㈱㥦㝤挸㕣㕦㈸㕤㌶㡢㈷捣愵挱攱㈵㘳㘴㉣㍤㌲㍡㙡ㅤ㍢㌶搶搹㡥㝡㘷㌲ㄳ攷ㅤ搳㜲㙦㑥㡤㜱搶㌸㥢㤹ㄸ㜸搸昴㙥㑥㡤ㄲ㌵㥥换㑣㑣㤶㙣㈳㕦扣㈹㔵㙡㤴敥攸愴㤹捤㜳ㅡ㑣搳挹ㄷ㉦つ愰换㜵〲㐶敡攸挰戸敢㤶敤ㄵ捥㘸挶㉣ㄴ收㑣㡢挳㤳昶愴敢㥤㌷ㅣ摢敤戴㈹㌹搳㌱㡢㔹搳敤戶㑦慦㘵捤㐲挰攸挶敤㡢㠶昳戰㘱㥢㌱㈲㍤戶㍦㜷搳㌹戳攸攵扤昵㉥晢㠲㙢捥ㄹ挵㑢㈶㔹㌴晢㑣㌹㥦ㄳ戱ㄸ晥㐷摡敥㙥搵㌳㌵㐵攸㡦㥤㔹㌶ㅣ㑦愵㌸㜹改㔶扣㌵换㐴㡤愲慥㕦㕣㑡愹㠶㔲㥣慦昹扣晤㤰改ㄴ捤〲ㅢ攱㌰晢ㅢ㤸㤴㠰晣㔹愸㐸㉡ㅣづ攷㐸㜴〴摢㠰㘳㘱㉢㝡〲攰搴㠲㤳挷㌰换〵挳㌹㝣㉥㕦㍣㤱ㅥㅥㅤっ㥥挳㌳昹换㘶㈱㙦扡摥㠹㜴㠵㌸㜸昸㥣戱㜶㈲㝤散㔸㐸㤱ㅤ愸㐵㜶戲扥㉥㠰摥改㘲搶㌱㙤㐸搱㈸愴㉥㤶ち㘵摢㤴摤攴攸〱㄰戱慢搸㥢戵晤㘰攱攸愲ㄱ㕤㕣㡡㉥㘶愳㡢戹攸愲ㄹ㕤戴愲㡢㤷愲㡢换搱挵㝣㜴昱昱攸攲㘵昰㠴㑦扣扤㍤ㅡ㍣㉦扦晤搵㍦敤晡愰㍢昳㠵㔷㍦扥攷㠵㉦敦㝢㐹攳㜶ㅣ㙥㈵㤴㐶㜹㑦㘱㝦㘶つ搷ぢ㤶〲攷改收慥㤴㙢㉦㤴㈹㈷晢收㉦ㄴ㌴㜲㔳ㄶ㡡摣〱〹挹㕥〰㝤㈷㠰㌶㌵㝥㝥㙥㕡敥㈲㜱㌷㠰㄰晦㠶㔹攵捣㑥扦昲㡤ㅦ扦ㅣ晦捥改て㍦昸搳ㄷ㡢㝦㤷㝥㐶㔰㌹㉡㉤㜹㉢㤹㙦〳搰昷〰昴愸ㅡ㔲㌳ㄷ㌲愹昱㕣捥㜴攴㕥㘶摦づ㈰挴扦〴㜵ㅤ摣扢晢〱㉦扥晦昴敦㘸㔷攷㥥㝤㙡晣ㅦ㍡敦㐴昶㈳挱ㄲ㥥㜴㡣㉢㔰ち㔵㙤㌳㌴〰〵㝢㍤㉡ㄶㅡ搶ㅡ戵㡥㕡改㜴㙥㜴搰ㄸ㌶㌴慥挰敢摤搱㐹昰㜶㕡㡦收㡢戹搲ㄵ戵挵敦㤸㌰㕣戳㍡㤱晤㐱摥㐴愹㕣捣戹户户捥㥣昷っ捦摣摢㤸㔷慤愴愹搸㍣ㄴ愰改慡昶昶㌵ㄶ扢㘸ㄴ捡收昸㕡摥捦扥戳㈱ㅢ敡慦戴戴㜱敥㤴㘳扥扢㤲摢搴愳㜱㔸捡㔵㔵㜷搳㈸晤㉣扦㕦愹捣㜲挹㌵㡢慡㝢晤昶昹㝣昶戲改捣㥢戴戳㘶㑥つ㜵㌷戳〲ㅤ摣㍦㕢挴㐰愱㔵㜳㜷搵㔲慤搳㙢㥥㔹捣㤹㌹昴㜷挵㜴扣昵〵㘳愹㘰摥㔲挷攲户㠹㡣㍤㜵攴愹㔲戶散㘶㑡㐵捦㈹ㄵ敡㜳挶㜳慢〶昴㝥敥㕣㈹㘷㐲㙤挷昸㐴㐴愴慤㑤㠸挸㝤慤搴〴敢㜵〷搴㐴搴㑣㌱戵挳㙤昵换㙥㘰づ愳挳㈸ち㈶搷㘴戴敦ㅡ㤵愹㝡㔹捤扤ㅢ㌳搶㡣㠹㑥〹戹敦搹㤸㕢昵戱㌲㜳㙦㉥㜳㌴扡㌳ㄸ晤改㔵㘸昵戳㐶㌱㔷㌰㥤㑤㕤㉡挱ㅥ挹㝤〰摡㍦㘱㌷㙦㈸㍤㙡〶戱㈶搶戵㉢昹㥣户慣㉦㥢昹㑢换ㅥ㘸㜰扢攲㜱㡡戶改㤱㈹㤰攴〱㠲扢〰ㄲ㠹㠸㝥㄰㙦㤸㌲搹攷愷㌵㕡愲ㅢ户扡㜴散愴戲昲㜰挶㕣捤㠶㠹㜰摢摡㕡㡤昲慣攱㉥㝢㕣㥥㥢㘶搲扥捡㐳〴㙦〱搰㘸〱慦㘹搴㘹㈱㘳昴㕤扡散㐹搳㌲攰㉢慡摤㉤っ捤昶㥤㤰㐹搳捤㑡㝡㉢搳搸㉢㙢㍡㌰㙣晥㑥㥢慢摦㕣昳㈶つ捦㘸户攱昷㘰㤶㈴㤸晡㔵㈹ㅦ㘳挹㉥㐵ぢ㑢㈷㠲ㄴ㙡㐸㉡戴愶㤶づ㐵昰㙢挲挶挱㝥㠹戴〵㜰昳㐱愰敦㌴㌸㝡攳㐲慦昷㕦攰㔶攵捥㤸挵㠵昵ㄵ搳㈵㝢㕣摦㔴㤴㡤摢㡢㤵捤㘶㤷㉥㜸昹㠲㍢㠰㥥㥥㜱㑡攵㤵㥢㕡て晡㈴敦〶〸ㅦ敤㝢㔸挵搷㍦㈶ㅥ㌹摡㔷㌹㌷㡢㡢㔸捡㐸㤱愲摦ぢ搰挲㍢搲敦〳㕤㥤㔹昸收㈳晢〱ㄲ㤲晣㤲㤹㘸晣㜵扣搴攳攷㘹㕣㉡㌷攲晦愹㐳㡡つ愹㉤㌸愶昲㘸攳㉡㠱ㄹ攸戲ㅦ㉤㌹㤷㤷㑡愵换㕣㘳摤㉡攵㉥㥢愶㐷㉦戱㈳昰㡡㤵昷㉢㐴㕢㕢㥤敢㔶攳㑥搲扦搴ㅦ〰攸ㅡ㉦ㄴ㔲㘱㡤慥㍥〸㔲ㅢ晣㔵㍤つ攴㌶摡晢ぢ㔰挹㡥㠷㤳㠲户㥥㕡ㅤ㌹㌶戰㔶㜰搷挴户㌱㐲晡て㈷扦晦㥣搳晤户昳㤳捦㝣㝥㜰㑦晦㝦摡摦ㄵ摦ち㌲㥡㝣㍤㝡㈴㥢㔸敤㍡昷㡡㡥㑡㥤搵敥戴愶昲〵捦㜴㤴㘲敥戱昰昲㑦ㅡ㉡摤㐵㘳攴ㄸ㔹摦㠷摦㘵㘵挲敥㔶㉤㜴㤳㍤昴捤挵捦慣晥戶戳晡捡收搷㔹晥㑤慣㉡ㄶ㑤㠳摤摦㥣戹㘶ㄱ搱攰戵摣㡦㙡㐹つ愰收晡㐵㐶晥㐶㠵愲捥㙦ㄵ晥摡㐵㐸敥挱㡤扤〱㉥昶收㐵捡㐲ㅢ㕡摥㥦昹㉤慤㐲㐱扥摦㌲〲挱挹㔱㠲㈳〴㐷〹挶〰挴搷愱㡣攸捦晣〱ㄲ昷㐲愵て挰㘹昸〸㔵扢㝣㤰攰㌸挱㕢〱攰㤵㐸㝡㈵㜰㑡㝥㡥慦㤳〰㍤攱㤹㌳攵㉦戱㠴㄰㍣㑦搱㔹㤱愷〸挶㤹㥡〰㤸㌹㙢ㄶ攰〳摦㥣㜰㡦㐶摤户戹捤挶敡㘱㑦㙥戱攷搷㡢搹㘵愷㔴㐴〸㡣慥挴㜸ㄶ㌱ㄳ㔷ㄸ扡㍤㔳捡㤴㍤摤㍥㥢挷慢搳㥥㌳㔷㑣挳换攰㠴〳㍦㘵〶愷㘸攵㠵㑣攷搶晥㍦扤ㄴ㜵挸挴攱戱敡愸㠸挶扤敢晢ぢ㠱㜰〷㈶㑢㠸扣㤹㉡〸㐸愱敢㍡㍣捥㙤攸㠶㐴㘴〶扤晢搴㝦晣摥昱㐳㥦晣攲敢挱晢〹慣㐱昵攸㤳挸っ㑥攳㑤㡥挲ㄴ昲ㄲ㤲ㅣ捤㑥㠴捡ㄳ㍣扢搳㤱㤰㌴摣晡㐳〰㙤㔸っ㤲愶㕡晣ㄱㅡ㘸㘹㤱晦㌰挸㘸㍡敡昳㠴㑦慢㉣㘷〹捥ㄳ㍣㐲㌰㐷㌰て㈰㕥㐲㔱敥ㅦ〶㘷ㄷ昰㍢㡥晤昳㉣摥ㄱ㜹㠱攰㈲挱愳〰㌵晢攷敤愴㜱晦㘰扦㌰㝡愰昶换㍢㐸晣㜹〰挱戰〱㔷㜸㐴㍥〶戰愱㤸摥㠹捣愶㤰㐳㤳挰摥〵慥㠴㈴㙦戳挰㔴㥥㘰㠰愲㈲㌰㐹㠱昹挲㝡㍥㤰㐹㤳晢昲㠹㈰愳㌱㤶愱昱㙣㜴〳㘷搰づ㌶㘵㕤捣㥢㔷攸㌴㜷㕢㠸㑤㘶捡慥㔷㔲ㅥ㝥㤷㌵㔹㝡戸攴㑤收摤㤵㠲戱扥搳ち㤰㐷㤷捤㈲捥摦づ㡥攱つ戴搲捡㡡㤹㤳搶㝣愹散㘴捤改挹敤㜰㍥挷昸㌰㥤敡㘸ㅥㄵ㜸戶㜶攴㠴〲㄰㔸㍤㜸㈲㕡ちㄵ㌶㥥ㅣ㙡㉣㙣搵㤹㘳㑣愷愷㉡搱㠵扣㔷㌰㍢㉣㤵慦昰戸〵㈹㈲愸㤱㙢户ㄶ㤶攱㍤㑦㜶㔹㘷㥣㝣慥㤰㉦㥡㥣っ㌸㠸っ昸捥㤸㤷㄰挰㌸㕦㜲昳っ㐶㜷㔹ぢ㡥㔱㜴㔷㜸ㄶ换慥昷搶愵㤴扡搴慣㠹㝣搱㐵㌳㙡ㄶ㠹昷㔸昳换愵㉢昸㐲㔱戶㡢㘷㡣ㄵ㜷㕢捣ち㌷愷晦愸愹ㄱ㔱ㄱ㡤㡡㜸㌴扥搵昹搱昳愸敤搶㙡挴㌹㠵戵敡㌹昹愵㌲㠵愶ㅡㅡ〲㡣ㄱ愸㜹㡣㘸〷㠰㙤攲㈸搱㕤ち㐲㑢っ㥢戰扦㜵㤱摣㤶㈷昸捡愷ㅦ扡㐸昲㜱㤶戹っ㜰昶捣㠵改㙡㐰昱つ㝣戵搱敥㐲㙤㡤收愷㜱敤㔵愲㌷搴挲摤晥㈲㈲㡤㙢ち㝢ㄳ㙢㠱愹挶㠵㤹戰ㄴて搷㘸㜷ㄵ㥤㐲〰愰搳㥡㌱㤶捣〲摣っ摢昰扡晤〴㕤㐶摢㈸戸㐱㕥愶㘴摢〶ㄷㅤㄷ散㝣搶㈸㤸㜱㙢扣散㤵㄰昶㤷ㄶ㠰㕡㤹〱挹㔸〳挹㔸㔳愴㑥㙢㡥昱㑣㠵戳慥搲㈵挳挹㝢换㜶㍥ㅢ㘷㠲㌱挷㙤戱㕡愱㐱㘲㄰㘶昸㠴摡愴搱晤昱ㅤ〱㑣昶〰㕣㌱㡡㡥㤳㡦㌵ㅤㄵ㍡晥㠹㉤㠶扢愰㝢㤴搳㈷㙤搴愶挱戲㈹㘵愴晡㜲㌵晣ㅡ㜹昵〹㉣㔰愵㥥㐴ㅦㄹ昰㤳㕣昶㐴昸㡢㌱㘰戴㘹㉣㠴㉢㌶㌱㔳㌲㜲㔳㌸愰㤶㥣昶攰ㅢ㘳ㅣ㔳㑢㘵攳㈴ㄹ㥤捡㈰攰㠹㐰敡㙡ㅥ㤱昵㌸〹昳㜰改㘲㡣㙢改晥ㅣ挲搰户㐵㌴慤㈳摥慡慤改戰慥扥攰㝣㕦晢搵㜴扡愹晥㔷ㅥㄹ㍢挹捦㜵㠹㠴㌲㔲㈵愰㜲〵㐰㌰敥挵昱㌴㌰扣㥢っづ㠰㜶㌷㐰攳摣搴〷㡡㄰㑥㘲㘰㈱愶扥搲㌱㠴ㄵ㐷戸㐷挵扥㌴㌵㤰㡥㥡㤸㤵敥㠷慢攲攱愷㍦㝤ㅥ慢摣捣㈵㝣つ㑢㠷㤶摥㘱㌴ㅡ挳㔴敢㡤㤱㠳愶㘶㔱㤹㍤㙦慡㘰㤶㔰ㄱ㉤ㄷ晤搸换捤㠲晡ㄷ㕢㝣攲愲扦㑦搷〶㉦昵㈴ㄲ戲㑣㈴㈱晡〱㐳㌹㜰㜹〶㠲㕡〵㉡慦〰㘸㍣㙦㙣愲㉤攰㤲搵㥣㑡ㄹ㐸搴慤ぢ挵扣㠷㡤捣晥㑣攵㍤㜴愹搳〲〰慡㡥㡦㝢搵〶慦㈹搴㕦㜱ㅤ昶㌷㘷搵昹ㄲ晢㥡昳㙢㥤㡢扥ㄶ搹扥摢㔱攳㙤㕣㡢㐹戹ㅦ㉤晡戸㥤晣ㄱ攱ㅦ㈸〲㤷㐴ㅣ摡昸昰㕤㈳㜷㙥捥㌷攰扤攸㙢㈸摦㝢㈹㤵㤹ㅤ㌲ㅦ㌸昷戶㔴搶㔸㌱戲昸ㄴㅤ㤱敢挸㠰㠲愸昸㌶愳㐸㙥扥㘲㙡㐲ㄳ摣㤶〹晡㌷㍥慤㉢㠸㝤㑤ㄷ㕤攸㠷㐴㤰㠲昶敦づ搰搹戲㔷㤷㘳慣敤っ㜲㄰摡㥢㉤挲㘲㘷つ㈷户㑤ㄴ㍥挶收㝢㈶㑡㜷㙦搱㙢㐴㈵㝣㙡搴戴慦愴㌵㥥晦㙦㈴慡挳戳㐱ㄷ㐵㕤〹昶挴㤹㍡㘷ㅡ㐵㌵〳昳㕥㙥搲㕣㔵敥晢㜹ㄳ扥㌷㙥ㅡㄴ捣㥤慡㐰㈵愹ㄴ㥢戴挶㤷㕣戸㠲ㅥ慤㝣㠰愹㍤㉦慤㌹戳㘰昰扢ㅣ㡣㜲㠰㥤捦㝡㠸㘱㔶㉡攰㌷户敤㌳㍢㤰㐸㉣㤸㈱愱收㐸摦㘴攱搶て㠲摢㘹㡢㌳ち㑤㙦愹攷摦㑦㡡摦㜸㥥捦敦㥥㡣㠴㐸㜰㐰㘰㕣㘷ㄳ捦ㄲ㙡户㌶〴挷㕤戴㌳㡣っ晢捡㑥改戱捥㤰㐶昷戳㡢㐷〵挷挳㠷㘹摥㉣攸攱戶㈹挰㐲㝢㜹昸㕡㠵昵㙥ぢ㜶愳㔰捥㤹捡㔱ぢ搵户昲搷戶挵㝣愹慢㔲晥㕣㙤㈲㤷㐰㈸搳戸㉦ㄵ㝥愸摣晡㜹㑤扥〷㘲㔵㙥ㄳ敡昰捦㙤㡣戴摤㜰慣㌳㠱㐲扤搵㐸扤扡户〳㤵搶㐴愲㉥㘳挸慡ㄲ㉥㔵扢慤㠶㙤愶㌴㔳攲㔹慦㠶㜴㌶敦㤳戶挵ㅣ㘱㥣扥挲搳㜵戸慡㕢摣ㅤ慣〴摡㑥扤㈲㔷㥦〸摥㠸戲昸慥㈹㠳㤹㈹ㄲ昵㕦〴昰挳㑢捡㍦攵戱㉣㕡㍤㥢〹〶㍣て攰㈷摦ぢ㈰ㄸ昹攴挱〷㘶㑡搲㤲㐹㔶㝣㙤㐷㤸ㄱ㔲㙣搷㠸㝣㌲㐰㤸㄰愷〰㐲愷〹㘸攸㌴㍤〵㔴扥て㐰㡣〳戴㘰㜸㍦ㄹ㍥〰愰㘵〰ㅡ㔵捤㠶㈱挰㌶㤶戰改㈴挶㙤㍡换搸愸㍡㍥慢㈲挴〹㈵愴㜷挴㈷㔸敤搳〰摦晡收㌷㑦攰ㄵㄱ㡣愰㠵敤搷㜸㜵扦〴戲㝣㠶っ㡣㠲搱戳搳㍦〸㄰㔷㔶ㅤ㐶㍤㈲㝦ㄹ㐹づㄸ换㕤㝥〸㈸㘲ㄵ㠲挱㌲摡昴昰㘹戲㐴㠲㤱㌴㕡㈳㤶扣㤶㘶ㄳ㜳攰愳㜶㡢挸㕦㈱㌸〸㄰㙥㉦挱㐰ㅣ户㔸摦㙢挷㥦ㅥ㌸㜲晥㔴捦改㕦㜸昵戹扦㌴㑥㠵㤵㠶㡢攰〲㜸㔲昸㐵昴㘷〱ㅡ㠳㘷慡ㅦ㡤换㠱昱扢〳昸挹攷〰〴〳㜹攱㜲愰〸攴㠷〱慥扤ㅣㄸ昰挳ㄸ㈳昲㈳〱挲㠴㘰挴㉦㤴㌶搰㜰㌹㝣ㄴ愸晣㔵〰挱㘸㘰ぢ㠶㡦㤱攱搷挸挰昸㈰㤷㠴晣㜵㠰捡㉣扥ぢ㠹戰㤸〶㍣昰捤㍦づ㔴㝥〲㐰㌰㌸愰扡昳㝣㠰㌰愱昱㠸搷㜸㜲㘹㍡㔵慡㔵㘱昱㝣㌹敦慤ㄷ㜰愶㈷捡㤳㡣㡦㜱㤹挱晢〲つ攷慢㤲〳攵ㅢ㙢晣㕡㔳㈹㝢㈷摡敢搸搵㜰〷㐵ㄵ㘳捥㘵㜶挹挲搹㘳挳昲散㜴昵㠳㌴换昰搱㝦ㄳ㘰搷戹㝣搶㈹戹㈵换㑢捤㈳㘲㤵攲㥤ㅥぢㅡ㜸㕣换愱挶㤶㙤㜲㘰戱㈲㙦㐵慥昲ㅢ㜷攲㜲戱㜴愵愸㝡愳戹扣摡愴攴搵摥捥㘶愸㤷搵㜳㄰㔲㑣昲愸换挲昲㤳〰㕤㙤㐹㥥ㄵ戹昳昴摦〲㌸㤴㤹挸捣㉤づ昲㘶搶搰攰㔸㍡㌷㌲㌲㜲㜴㙣㜸㈹㙤づㅡ㑢搶㠸㜹㜴㜴㜰㙣昰㘸㕡晦㔴㠵㜵昴挸㤸㌵㘲ㄹ㐳戹㈳挳改㤱摣搰搰㔲㌶㙢ㄸ搶㤸㌱戲㜴攴攸㤰㜱挴搲㕦愸戰㡥っ攱晥㙤摡ㄸ㌴㡣挱昴挸㐸㜶㜸㙣㘸搸㍡㍡㌴㜲㘴㌸㍢㜸㈴㍢㌸㥣㑥昲挰捡㥥挸ㄷ〹㍥㑤昰ㄹ㠰㈴て慢㡡晥㔹㤲㝥㥢攰㜳愴㍢㈱㥤㕣搵㐲㕡ㄹ挹敢㍤㕢㔲ㄲ㘲㐹㘴㐵㑥㤸戱昶昶愶㌳㐶搳㤹戴㜲㕦〲ㅦ㉢㔰㔶扢㠸〹㙡㍣㤸戴㉥㔴㍦晦㉣ㅣ挵㑦㝥㥥攰㈵㠰㐴㜲ㄵ㤰〳搵㝦ㅦ㘰㐷㘶㘲戱晥㌶慣晥〵㤰㍢㐱㔶昶㜲づ搷愴昴㉦㠲搲つ㑡㑤〴㉥㜹〵㌴㈵慥㉦〱㔱㔷㐲搵攵㔰㡤攷㤷挶㥥搶挴挳ㅡ㡥㔰挹㥡㜳慤ㅡ昳づ敢㤱戲㔱挰㐹㘸ㄶㅥ㤵㐷搲㜶戰挵㌱摦慦扤收㜴慢㈱扣攳㌱㑡扤㔱〶昵戳ㄵ㡣㑤㕤㠹搹㥡㘵㑦㘸攷慥戹㈶挲㔶㥡搷〴㘷捥昷挱攸㤵㕤扦ぢ挸㥡㜶㘲晦〷㔷敢ㄹづ散㉦挰ㅢ扥㡥搸敢ㅦ愳愸㜸㉦〱㝥昲㑦〲㠴ㅤㄱ昴ㅥ愸㘷挵摢㌰㈴㙡㌷攰ㄱ晤换〰ㅢ慡㉣㜱ㄶ㙣㔴㕢昵㙡攷㐹㤴㔱㙡攷捦㠰㐰敤㍣㠵ㄷ㥦攴晢晣㜷㈴昹晥㄰昹㐰㠰昴㍣つ㠴戵攸〱攱愶扤㤲昴㄰搴ㅥ攱㑥㤳摣㔷㤲㕢㈹㐹愷㐱搱晦㠲愴㕥㠲ㅤ〰㠲晥〲昷㑦㐲㥣挲挸㌸扦攴昲㍤戵て㤱〱㍦昹㤵〰㘱㐲搰攸㉢扦晡慢㑣㈹㘳っ㐴㝥㡤㈹晣㤴摥愱㌱㔶搲㝤㉢㉡慣㐸昷慦㐰摤㔸扡て㠲戵㔹扡戴搳㑡扡㕦〷〲改搲㈶昳㐹搲㉥昳㐹搲〸昳㐹搲㄰昳改愱つ㝥㜳愴㑢换摤㑡扡㌴收㡡晥つ㈰敡ㅥ戲扣ㄵ㔸㤲㘶㕤昵晥摢㐰扡摡㌴㕡愶攳ㅢ〷㝢㙡㤴㕤㍦づ㐲㜵㔷㔶㑦攳ち敡㍡昵㙡ㅢ㈲慤㝥㝣㌲ㄶ㝤㜰㙢㜵㔱㘷挰昳㡣昰愷愵㈱昷㌷㔰て攷扣㙡晣㔹攳㝥晣攴㜷㔸昵㡢〰㉤て㕢㡤㌷收㙢晦㐲㠱㝢㘲户㍤敤挲っ攰㥡挲㐲㘹扣昲㘷ㄲ㍢㐲昳搰ㅦ摥愴㍣㔴愵㠴㜱㡣戰搸慣㔳㈹㠷㥢㠹㜰㈴㤰搱捦㝢㤷扢慢愹㥡昸敥敤㔵㉡㐲㔷㌸㔴㥢戹戰㐶ㄷ敥㙤㉣摡搶昴挵㕦㤹㤸攰て㈲ㄸ搰㘵㙤戸㈵㍣㥤㘳㔰昹昶ㄶ搱敤㠹扣愷扥つ㜱㠴㐲搲㉢搱晦㥡攰㐴摦㐴㕦㍡慤摤㡦㠹㘸㍣㔲㙣搸㐶扤搸搹愲摡户昲㙦㔸昷愷〱㈸㝢㈱改捦攸摦〵㐸晡㡤摣㜷㑦晡晥扥搳㘸敤㕥㜱㉦㥡㘳㤳㕣㔳〹昹㍤戲㝦〶挰㉦昷〲㌰晤晢〰搵㜲晤㝤㔳慡摣愱愰ㅣ搷㜵㐲晥㍤愰昸㉣〰慢㈲㐹搰㡤㘱㠲晤ㄱ㥦ぢㄲ㙣愴㠷づ〱挷捥㕦捤㜳昵㘴㤰㌸攵扦攳挱㍢ㄹ扣㜷㥤敡愱ㄷ愱㑡㍥㈶づ㝣㜴㕣晢挷㈷ㅡ扦挵㈳㝦散摣㈱㌹㠱昷㤷㥥扢摡挱昷㍢摤㡦昵㑥〸扡ち㍤昸愹㑢〸㜲㤰㔸ㅡ㐰愴搰挳㤶ㄷ㄰昶〷ㄹ㡤㔷〲㠵㌲㈶㉣晦〳〰㍥ㅣ㘰㤲㐶㐵敤昰㝦〶搲搵㈶㘸〴戸换挵ㅤ愸㠷㕢㑢敤㠶㝦㈵㠵㥡户摡㤵㠷㤰昲扢㜲㙢搰㘲搳攷晤㕢㠲㡣挶扢㄰挹慦愰慣㙡昴㠷㐰搰攸㔷昱攲㠲㤰慦〰昰愱慣㤲㕦〳㔰㕣㍦〲〲㉥㙡㔰搵戵摥摡慥晤ㄸ㔴㐱戵搵慡㙢㕤ㅢ㜵慤㌳挸㘸扡㜹㐰㐵㜷慤㥢〷㌵㝦㜰挰㐶㌵㡢挷㤶づ换㈷㔳㌷愹戰㜱㐱昹晣㥤昸㑣攸攰捡晦っ扥㠷攳攳㈰晥㑡㈹㜰ㅤ昱㥤㥣〷敡昰㐳㤴㔴㈹ㄶ搶慤㔹〷㕦愶摡慤㘹ㄷ挱搱㕣ㅣ㔷㤶㍤㕣挶㉣㙥〷愷づ愷戰㔸ㄴ㐳挶攲攱㥦〹㐴㕢ㅥ㠰敥㐴㜶㑢㍤愰扥扥っ㔴攵ㄱ〶挸愲晣扡戸㌵㤷㑥晦㉦㌴㔶晢挵㍣㔷昳挵㍣㈶ㄲ㤸㘶摦㈶㍦ㄹ㜹㥤摤愶㙢㉦晦ㅢ㉦晤㝦〰摡㜰昵㔶㉤㍣〰挴ㅢづ㠲愴㐰㐴愳晡㙦ㅣㅣ㡦愴㔳ㅣ㝤挳㝤晣㡥づ㡥㌸㝣㘲搴㘰㥢㘹㑦㙥扢㜶㝢搱攰ㅦ㔸挶敤挵㠲㔹扣攴㉤㔷晥愸ㄲ〶〸㔷慤攴慢㘰㘲㔳晣〹敡㌶搶㉡㝦〲挰ㅤ挱㥦愰收㔲搴晦慤愱㈶㝦㠰〴ㅦ挱晤捣挵慣扦〶㔰扤㕥户㑡㔳攲攲愲㐲㈸㤹ㅦづ敤愹㑡㠶㤸㑥㠹昰愶㤳㘰攳㤴㡣攴愷挱ㅡ改〸慡〳㑡㘸攱昹㍦㍦昵摡昰㘳攳㠲晢㔸㙤捤搷㝥敡㙢つ晡㘶昱㘸㕢㌲摣搰㠲㝢㤸摤㤱散㑥㔴晣〴㝣㙡㘲敡㥡搷搹づ㥢慦㌶ㅤ㙦㘸㥡摢扤戶㘹㡤㤳㜹摤慢つ㤵㙤搵ㄷ㑦愰㙣て愷㠵㜵挴㌹㠹㍤㥣づ㤵愲ㄶ攸攱㌴㔴㔲㠲㤲㘴搷㘴〷㘸〸㉦昹㜹戲㌳㐰挸㠸㜸㝦挰搳㐵㉡㐷㑡戲散づ㄰㈶〴㥢㔵搴㜰㘲㐱㡣〸㔵㈹㜹㙢愹㐹㔶慥ㄴ㘶ㄲ〸ㄴ愶慡㤶㕣㍢㤰收㘴搲捣㈶㔹扤攲敡昵戹挸慣收敥㐷挱摣㈵挹戹ぢ搴㈴换㈹搶摤㐰攴㉤〰㕤㔱挱㘲㡡晦攵㕡晥摢㐰ㄵ㉣愴〶扤〷㠸挶㐲㥢㕣㌱慡敡〱㥥晤愴捤て㌳搴〸〹晢㜴戱散晦敤㠶㙥昳愲㐷㜱㐷㄰㔴敦慦昰昴㔶㈸ㄵ摥敥ち㐹㤵搹攳㝦愶攷ㅦ愲㤰愵扦㕡改敥挶ㅣ挵㡦㘱㜲愴㤱扢㌶昶㐸挳づ搲㐷㡣㡢敢㘶㡣晢搷㘶昷㐲ㅡ㝣㠴慣㘰㉡㈹㈸㔶㈵摦摢㠱㤰㐹挸ち愶㤲㠲戲㔵㘲扤㠳ㅣ㤴㉤改昲捥〰㘱㐲㘳愵搷搱㈵昲㙥昱㌰扡㡦捤戱㘷㙣㑡敥㘷㑡昵㠷㕤㐹㌱〵㠴摢㈲挹㝥愹㔵㜳〰〸㤶愱㉡㐸慥扢挸ㄲ㍣㐲㔵㠰㐴ㅤ㌵挹㡡㔴搹㠳㝥㔹㔶愱㠴搳〷㠴换㔷挸㉡挶㘴㌲慣㔴戰㠴㘲㍤㔴㘱慤㘲㘴ㄵ㉣愹㍡晦ㄶ㈰㠲㤹㉡㜵㌷㔳㡡挴敥摣㠳ㄴ㠷挱㥦㔰㔹愴昲㍥㜳㐸㑤㤲㐵㜵昲㍥㈰戲㥦攰㌰㐰㈲㐹㉥㤵㜱㍦㘹〳〴て㌰㐳㈳攳挱㡤㔷㤶昲摤戹扣㍡搰ㄶ㉥ㄴ昳愶㔲㤷敤㕦捤㔰㜹昸㡢㉢㘶㌷㙦㡤㕥㤲晢敢㔸ㄳ㍥㠹戰挷㐷㉢㝢愴㈳挸攲愶扡搱つ㈲摡㌱㌲晥搰挳㝤ㅢて㠵㉤昸ㅢ攴晡戸晣摤愱て㐲㐰㙤㌳昳㌳㌲㑤㜹戱ㄱ㔱㠳慡戴愰愰㈹㐸㝤㠸捣ㄷ挰㍣㕣㘵慥愲㍥㌳㈷㐴㌱㡦戰挴挲昸摣㤹搳ぢ㜲戴捡㕦㐵㝤㝥捥㤸攲㍦〲㐴昵攴㘸㤵戹㡡晡捣㥣㔹挵㍣㐶㘶昶攴㔸㤵戹㡡晡捣㕣〱㡡昹㐱㈰㘱㑦㡥㔷昹慢愸攲敦愱〴昰扦㝡捡攸攱搸敡㈹散㝤㍤㠵㕤慣愷戰ㅦ昵ㄴ戶㔴㐷改昸㍦㕣昸㔵㤰</t>
  </si>
  <si>
    <t>㜸〱捤㕡㑤㜰ㅣ㐷ㄵ㥥ㄹ敤㡣㜶㔶扢搲晡㈷㈱捥敦㈶挴〹㐴慥㡤晣ㄷ摢〹慥㐴㕡㔹㤶㠸㙣搹㕡挹〶㐲搸㡣㜶㝢愴㠹攷㐷㤹㤹㤵戵㔴㔱戹㜱攰〴〷づ攱愷㌸㜰愰攰㐰挲㠵〳ㅣ愰㔲㐵ㄵ㠷愴㌸㜰㠰㈳ㅣ愸愲㈰㤵ち挵㌹ㄵ扥慦㘷㜶戵扢㕥慤ㄵ挵㔴愹㕤㝡摢扦㙦扡㕦扦昷晡敢搷㔶㔴㐵㔱㍥㐱攲㉦㔳㠶㤹㠷慢慤㈸ㄶ㕥戹ㄲ戸慥愸挷㑥攰㐷攵改㌰戴㕡㡢㑥ㄴ㡦愰㠳㔱㜳搰ㅥ改戵挸昹愶挸搶戶㐴ㄸ愱㤳慥㈸搹慣愹愱㥤㑣昸㔷㙣ㄷ㑣㡥捡㘷㐰㤶㉢㌳㑢㙢慦㠳㙢㌵づ㐲㜱愲㜴㈳ㄹ㝢昱㕣昹㜴昹挲㜳㔳攵愹ㄳ愵㑡搳㡤㥢愱戸攸㡢㘶ㅣ㕡敥㠹搲戵收㥡敢搴㕦ㄶ慤㤵攰㤶昰㉦㡡戵愹搳㙢搶㤹昳㈷捦㥣㍤㙢㕦戸㜰㍥㡦て㉢㡢㤵㤹㙢愱戰愳㝢挳搱㈰挷愵捡㑣昹慡㠸敦つ挷㔱㜰扣㔲㤹㤹つ㍣换昱敦〹㑢㥤㌲㍤㍤㉢敡づ㠵㉦㐴攸昸敢㘵㑣戹㐷挰㈸㥤㉢捦㐱搲㜵㉢㡡㉢挲㜵㤷㠵捤愹攴㍤㑡㑢㠴挲慦㡢㘸摣扢戴㕤ㄷ㙥摡ㅣ㘵扤ㅢ㔶㜸搵昲㐴㠶㤹〹㉦搹慦㠵㠶昰㘳㈷㙥ㄵ扣搵㐸㉣㕢晥扡㘰ㄷ摤扢摣㜴ㅡ㤹㡣㥡挹㈸㈳㑦て㥡㡣摣㤵昲㕣㔸慦㙣㔸㘱㉣㑢摣慦㤳㠳晡㜶㘹㠶㥣㜸捦戴愸㍤愵扥㔱摣愲慡攳扤㉣㐲㕦戸晣〸㌷㙥戲慦㤳㤴㐹㈲昸㡥㜰摡慢愱㉣搴戱㔴摦攵㔲㔰㘱㘶㐹㑣㄰㈳〷㜲㜸ㅡち㙥慤㡢㤲戳戸㕡㈹㔹㡤㠶〸捤㌱昶挸㠳愸㤹晦挲㝣扡㌹戰㐹慢㔹㕡㙤㑤慢搵戵㕡㐳慢〹慤㘶㙢戵㜵慤戶愱搵ㅣ慤昶扡㔶扢㠵㍥敤㤴ㅤㅤ搵搲愴扦㍤昳挳摦扤㕢愹㝣晢ㅦㅦ晦昱搸㉢敦晦㌶㍦㡥㑥搷搳搹捤㠶搶㙤㙣昱㡥敥㥣㉡挳㕣昶㘲㌰戰ㄷ晢慣㝤捥㍥㜹戲㜱㜶捡㍡㙤改㕣摦㕥㌷敢㈸晡收敤㥢㡥摦〸㙥换摤换摢㜳㡥ㅢ㡢㔰ㄶ㈶㙣晣㈴ㅡ㈸换〵晢搲㌶㡣戶㥥㙣昴㔱扢㈲挲ㄸちㅦ户㜶㜶晦攱ㄹ㉢ㄲ㍢挵挹㤴昷㑣搰昴ㅢ搱㐳㠳ㅢ慢戱ㄵ㡢〷晢摢㜶㤸摣㌱慣ち㜳㄰㤱㥣搲愳晤挳㙥㔸㙥㔳㑣㙦㍢㐹昳㈳㝤捤㌰㡣㘰㙤昷搶戹㔰扣搱㘹扤㘳㐶搳昰㤶㕢㤲昷ㅤ慢㑣㥡㤲㜹㤵㉡ㅢ㐱㈴㝣㌹扤㐹敦㥡㔳扦㈵挲慡愰慦ㄵつ戹搴晢搸㤴㕡攷攴㤲㡦㠵挲摥ㅡ㑦㜴搷㔲搰挲㙦㠸〶收扢〹㈹户㔶慣㌵㔷摣摦搳㈵昹㈶ㅡ㡥昵㔴捦〵昵㘶㔴〹晣㌸っ摣摥㤶改挶㤶〵㡦搰戸ㄲ㌴㐴㐶㈶㈵愱慡㌲㌲愲慡捡ㄷ〶㤹ㄶ㜹㐷㌴扥㉥㈵愱㠹て敦摣愵㐴散㍣搰㘸㍢㥣㤱改㔲㌲昶晦攲搰㤹㜴㉢㈱㝢㑦つ敤㍤㐰㐹㌹攸㠱㕥挳㉢㉦㘳㝦戰て慥愰㔵㙡㑦敥捥㜲㐷㉦敦㌲搳慥㕤攱搱捡摥㐳㠴㈶搹㜶㜴敦晦摢㔹搳㡥愴慢扦戴〵扦㍦㙦昹つ㔷㠴㐳㠱㠱捡ㄹ㤹ㄳ㈴㐵㤲㐳㈴㠷㐹㡥㠰攸ㅦ挰㑤敥㉡㔱晡㜶㜵㕢㙤改户㥤㐶扣㘱㙣〸㘷㝤㈳㐶ㅤ〰㐵㌶㑢㜱扦㠳扦ㄱ㐰㡡㌲㄰挵昷〸㉤捣晢㐸敥㈷昹ㅣ㐸㉥愷ㄸて攰ㄷㅥ摢㍣挶㥦〷㔹㈹㈵㔶㕡㘹㙤㡡㥣慡搳㥦㝦晡㔳㠷〸挶㤴㠷ㅣ昰㐷愴㝢㌸㑢愳㤱㤱㐱㠲㤸户愲㡤㤸㌶㌸戴㤱㉢㌵ㅦ㈲㜹ㄸ㈴晦〸挸攲扣㜰㘱挱昷〶扡攸㍣㝥敥㝡㑣㜲㕢敥昷慡㉤扦扥ㄱ〶㍥㐰摣慣ㄵ㕢搳㜵㘰㠱㐸戵っ㙦㌱愸㌴㘳挳㥢㜷昰㤳昷㤶挵愶戰攲ち晣㜳㕣昰ㄶ㠱㈳愴〳㕤㘸㙣敢㕥〲〱㘶㐵㔴㌷㠹ㄵㄶ攰㡦戶つ攴攰㘰昳ㅥ㍤㡣搸㡥挹㝡搴扢㘶〱㙢挴㈶㍡㑤捡㔱㐹㡥㈳ぢ戲慥㍤㍡㤷㤶挰愱㈸戳㕤㕣挶㘴㐵挲㐹愱㈰ㄵ戸㈴㘵㈴㤳搲㝥搳㔹㡤ㅤ㌷㉡愷挲㉤捦〶㐰㤱㐲挲㔸ち摤㌰愰㔹挶搰慤敡户㜰㠲㡤愵晡㕡挲ㄶ㔳戹ㅣ〶捤㑤〲㡥㝢挵㠷扣ㄴ昳㔱㤰㥦晣攷ㄷ㉦ㅣ晦昱摢㥦愴扦㙦挲㜶㘴㌲ㅥ㐳攳〰㍣㘲㤴㔰㉦㠱㍣㝦㤹捣挷㐱㜲㈶晢㥢㈵㄰づ挷㡦㑣㐹㥢㑥昸㌲搰敤敥㠲㤵㘸摦㜹てㄲ㔸〹㠵〴㝦㔹㔹㠰㜵ㄵ扣㥢㐱㜸㙢㉤〸㙥㔱㈱挶㘵㈹摡㄰㈲㈶愲ㅡ㑢〱㈴昳慡慡㡥㡣昴㠰愵㉥攸㐵㉣㘶ㅣ〷㈹㑣扢㙥愹捤㌱㌲㥥㐲搵〸戱摤搳挸㍣㐰っ戶㡡㌳㉡挵ㄵ愵慤㌳ㄷ捡摢㙥戴慤晥ㄵ㉢㈴ㄶ晢搶搵敦晦敤捦晦晣敥捣捦摥挸慣㔸㔳摦㜹㑡晤㑢摡搰㡦慥㜴晡慡㝥愵㤱㘰戱㜳敥㜴㥤㘸昴㐲㠶扤敡㍢㜱㌴㘶㑦㌷攳㘰捥㠹㘷愳㌸㙦㠳㈰㉢㠷㍣㈸ㅤ㑥搷愰㐹晢㠶㈳㙥搳〱㍤㜶㘷ㄳ㜰㜴愵ㄹ挵㠱戴㠷㐷敦㙣㥦つ慥〶昱慣ㄳ㙤扡㔶敢挹〱捤㐹换捤つ攱〳㌳㠴㠰づ㜷敢ㄴ㙣㙥㡡挶㠰㌹㔶㠳㘶㔸ㄷぢ戳〷〱㜵愸㠹㘱㉢搰ㄳ㤸戵㝡㝣昷㔳戶㑢敥搴㑣つ扡愵敥敦搰㌲㥥挱㜸㜳扤㔴㔹㍡㈵㥥扤昲㘵挵㥣㐴ㄹㄷ㔸ㄵ挷ち㤲愲昳㍣ㅢ慥㈸㕤㘸㠶づ㌸㘷㘳㜳㤳扡㐲ち㤷ㄷ晣挸㘹㠸㕣㕡扡攲昸攳㘹㜶愹ㄹ昷戴㔸摢㐷搲ㄶ㤸挱㤲て〵愸㕢㘱攳㈰散つ愵〲㔳㤴ㅢ愳ㅡ昸户㍦㜱㈷㙣ㄴ攵愳㜶搴攱愳㌷愵愰ㄵ㥤㤰㘱愰㐷敡ㄸ㈴㌲㕤㐰㤰〶㕣愰愸㍢搵㔹㤶慥〸换㤷㍢㔰㡤ㅢ戳㘲㙢㕣昶㄰㔰㜱㕣㘰㕤㜱愴户㈸て㉢搳㥥㕥㡢〲户ㄹ㡢昱㑥㑥㥡扡㘹㉦ぢ搷㈲愸捦㜷㜲搷敡㌱慥㍤ㅤ㝥〴散〷㘷㜷㈰㤱㑣扡㐳慡摣㈳㘳㠸攲昶㉥㠲㔶戴捦ㅤ挵㌱㙣换昴攱㡢敡て摥㘲晡昹㡢㑡㍢㤳ㅡㄱ㌱挷摥㔱㍢慤攸㐸晢㌲㤹昸㌸改扥昲敤㍡〲收㠲㉤㍤ㅦ㙥挵㡣㕤㑣搰㙣㕣〴㤴㘲愷㙥戹㙥㙢摣㕥昰敢㙥戳㈱ㄶ慤㌵攱戶扤㜶㄰㝡〷㘴扦㘴慣㉤搹慢㈱㜲㐹慦㌲ぢ〸戸戵敦〸晢㜶㜴㡡㜹〲㘲㌵〹㤴挱㈳昱㙤〴攷㥦晡㝡㈴挳㈲㍢㤷㝢ㄹづ㠲㑢㍢摣㕦㐵㕦㐶挴搸戹㘱㐹㙢敢敡戶ㄸ㉣〶戸晤㌶扡慡收㥤愴敡挰搸㤴摣㈲挳㌰昶㝢扣㝣晣愷㐳㝦㝦㉦㥣㝢改㕦捦㝣昸摡㡦㡡㌷㕥㙡㕢ち㙦㉤㍣㕤㜸㤳改挷㥡㕤㌰㐴㥥晣搲〱昲ㄸ㥡愰昷㑡㘰挳㡡ㄳ扢㘲捣㤶敤㌲㥦愵㌹㔰㥡愳昶捡〶㌰摡㙣挱扥ㅣ㍡つ搷昱〵㈱〸愲㌱っ挱㉤㡡㜵挴つ慥〵㤱挳挸㙥挱㕥〹㉤㍦摡㈴㍣慦户づ昷㤴攴㘶改昶㡣攳挳㜸㤲㙦㌲㍦㘱㔷㌷㠲摢〸づ㌷㍤晦戲戵ㄹㅤ㠸㡤攲㥤㌰㐹㠹㐵㘹慡愶愹㔹㉤扢摦㌳捡㈸㠳摢〰愴㑤㕣愰㥣㐲㥢㐶㤲敥㈰慦愱㐳㑣㤸㥢㤷〶㜳㘸挲㥣㙡㑦晣㜵攰㜵戲ㄳ㜰愷㕢㌶㥦攵㤸㈹㤰昹换慢ぢ㍢㈱挰捦㄰㌵搷㜹㙤ㅥ㜲㌶㐸㕤改㐴ㅢ愸愳攳㠹晥戰㡥敡㘴㑡㌵㘰愹㕦㈷㜳戶散㐳昵挴㜱捡敥捣捥攱㍡㤸㠷㌷㠰㉦挶㈵ㅡ㑥㜸㍣㈹㄰攱㜹㤶ㅢ愵㙤㤵挰昳㉣敡ㅢ㜵戵ち㐷㉥戲ㄲ㙥挳扤㤸㌶㠸㔴捡戴捡摡㐶㤵戵㉤慢㜰㍥㌳㠲㈸昳攴ㄵ慣㕢愱ㄳ㙦㜸㑥㍤换〲愳㝣〷㐲㔱愱㐰昲敡ち㠱㌲㐹㙤〵㜶敤扦戲㈷户㑣㙣㜶ㄹ搷〹㡡㡥㥢て㜵搶攴愱慥敥㌳㍣〳攵㌵㈵搸愵昲敡昲㜵㠶㤷㘷愶㉥㌴㠶ㅡ改㤹㔴㐶㔲搸㙣㥥㑥㌳㉣㘴ㄸ扤ㄸ㝡㜱收㐵㉥户ㄸ㔸㡤㌹〴㠲㠳㜰㌴㝤攳挹㘲㙢改㘷挲㈲㐳㈵ㄵ㠴ㄸㄱ扡摣〲㈸づ戳慣愸㈲っ㤱㘱㤰挵㐸昶㤰戲㔱㜴㝤㉣㍢攸㕢ぢ㙤㕥㑦愶ㄷ挸敥户慡㠵㍢昸㝦㜰晤晣㡢㤸ㄴ㤶㐵㕣㘱㥥㈱㌹ぢ愲㌲〸挳昵昴㜵㜸㡥ㅤ捥㠱攸扣㡤昷㕢挹慥㠱〵扥挸攸ㅥ〳ㅥ㔹㡦换〱晥㌰㄰〶㐱攰〴㈲㌱挶戲っ㍣㤸攷㐱摥㝦敦扤㡢昸㔱搴挷㐱摡摦愷愱愷ㄳ扣㠰慣昹㍣㠸捥慢挸摥㉥㐱㤴㝡戱敢㘶㑡ㅢ㡤づ搹搷㥢㤶㡢㘷㥢㈵㠰愳㤸㔵〷挱〸㌲〹㐴敤㝦㠲攸㝤捤挱晤㑥㉥攱㤵㔷ㄹㄷ改㤷㐱㙦摦㜴㙤ㄱ㝢敥て挲收昴㍦㈰㑣戰户慦搰ち㐶户ㄸ攴慡搵㄰晣㐱㠹ㅢ㥦ㅣ收〴㔸㐳㡥㠲㍥㌴㐷㑥㐷㜶㔴㤷㑥㙡搲攵㈳敢㈰㥤敦㍤ㄱ扥㠴愱㉡㡦〵昲㌰愹㑤捣搰戵攸㌴敥扢晡ㄳ昶挴㙤ㄴ㥥愵ㅡ户㕣㜸㜳㘶ㄹ扥㐹㜲㔴摦愴ㄹ搳ぢ㐲㘰搵㑣㝦昴戶㌳㤶愱㤱戱愳㝤搱㜲㌹㡣㉤㜴㕣晡扢㄰敥慥攳㝢攵挹㌱㑣〶㉤昶攸ㄵ愷ㅥ〶㔱㘰挷愵㉡㘰㑡㠹敦㈷㌶㜸㑥敢扦〷挷㠱摦攴挲㌲㍥摦㈶攵ㄶ攵㙥昹挱㙤㕦捥㐶㡦昸㡣㈴攵㌵㍡捡捦㄰挶捡昴㜹〸慦㐸㈷挷挱收㌴㐸㘱愴㐸㉦挱㔴愴愷㘰㉡搲㉤㌰ㄵ改ㅡ㤸㈶㘸捣攴㐲㈵戸愷愹㐸ㄷ㐰戵㌲㘶㐰づ㔵㘶㙡扤捦戰㐶〵搵㜹㔴㑢㘷戹㡣ㄷㄸ㘳ㄶ㌵攳愸改㠲ㅢ㐵晡㄰㜲㌱㉦㤱㌰〴㉥ㅦ㌷㔵愹㍤㉣捤㠳㌰㔱㉡㐵㙡㤱㤴挰〲㌲㠵ㄱ㥤㠲㜸㘱昷〸㑣搷㠷㈶愱搸㍤慦㔱㤷昰扡搴攲〱㌳〲㤷慥换㐹㘶戴攷昷挷㡢㙥㠰捥㔱晥晤ㅡ晢晥ㄹ昸㜰㥤㍢戶㑢㡥㌲㐴晡㌲㌲㉡㘵挴愰愸㜹㥣攴㈹ㄲ㠶ㅣ搵㕦攱㤳〳㈳㡢敦愴つ晤㤱挵㘲㕢慡㍡〵昹捣敥慢㑥㐰捥捥㕢㈵〳ㅡ扡㑤㉢ㅣ戳㤳愷㐲慥㕤〶㡤㕣愹挲㜹攰㥤㄰慦㠵㡢挰昴㐰㌹㜸晢㑥搵〲㔸㥦攷㑥晢㐴㌵㘵㠹㠳つ㝢㈹挴ㄱ㍢㙡㉦㐴戸㌹㌴戲㠸挴挷㜸扤昵て挲㌹〰愷㤲愱㡥㐰㑢ㄸ㔴搲〶摡㌳つ戵晦〴敥扡ㅥ敤挸愳㝤㍤搶〸㤳昶㜷ちㄸ搷昱戱㠹昶晦㤷㈸㐹〷ㄲ㘹敡㉦戱捦昴㌷戹㝦㥦㍡㤶㐶搱㌵挵慣愲慦戱挲挹㈳㌸慤捡㜵㈰㘲㘸慥愲㐶㕥戱㈵㔱㜴慡㔶晦挲攸㕤攷㌸愲敦挱㙢㙣㡣慢㕤㜹敢㌷㉦㝤㝣晡搵㘹㥤㕦搸昳搲愹搹晢㍣㑢㙥㘲愸捡㜹㤳㠷昹㤵㌴挳㠲㉡㥢㔸晢㔵㄰㘹捦昸㉤戲㡢㜴ㄴ㕦㐳〶慥㤲㡤戲晣ち㌲收搷㔹愹愹㙣㥢挶㥦晡㔳㠸㡥㘶换晢慢昹つ㄰㥤摤㠶㕣㜹㜷昶㤴晦㔳挱昴ㄸ㘲攳敥收扣㑢㝥㌳㜹㕥㌲㍣㕥㐲晤㐳改㠱㍡搹改㜳戸㔳搳改㍢摥愹㤲㘳㡥㈵搸㤱㑦㜵散㌲戹挳昴扥晥ㄶ搹ㅦぢ攳摡㤴㈷㜶户攳昶〴改㑦戲敡㥥㍢㘶㤳㌷搳ㅡ戹㈳愹㘶㈷㈷㡢㉡〵㈹㈵晡ㅡ㕢昹㘷㜶㜲戲愸㔲㥡搴ㄲ搳〲搱㌹㝣てㅦ攷搰㝤㙡捡ㅡ㠶慡慦㠱昰㔳㘶㥤㈵㝥㤹ㅣ捤〶〸ㄳ戵㐴㤵ㅤ㤱改ㅣ㌰㙣㔱攵㠰晥摡㈲〷㔲挲㠵捣搸晦〰㝥ち扦㌷</t>
  </si>
  <si>
    <t>Replacement Crop Carbon</t>
  </si>
  <si>
    <t>Mg C/ha</t>
  </si>
  <si>
    <t>Net Vegetative C loss</t>
  </si>
  <si>
    <t>KgPerBuCorn</t>
  </si>
  <si>
    <t>LbPerKg</t>
  </si>
  <si>
    <t>f3bb39d2-ab51-4d15-b9fc-7cf2d5cba14c</t>
  </si>
  <si>
    <t>.0001 rather than zero to avoid problems with crystal ball</t>
  </si>
  <si>
    <t>f0e9e6d8-dcea-438d-b264-94ed07aa4e8c</t>
  </si>
  <si>
    <t>EU and FSU excluded from world average</t>
  </si>
  <si>
    <t>Forest Lost (to crops)</t>
  </si>
  <si>
    <t>Forest Gained (from pasture)</t>
  </si>
  <si>
    <t>Mg CO2e / ha</t>
  </si>
  <si>
    <t>forestry gained</t>
  </si>
  <si>
    <t>forestry lost</t>
  </si>
  <si>
    <t>cropland</t>
  </si>
  <si>
    <t>pasture</t>
  </si>
  <si>
    <t>Efs for ecosystem expansion</t>
  </si>
  <si>
    <t>Efs for ecosystem contraction</t>
  </si>
  <si>
    <t>Forest Lost</t>
  </si>
  <si>
    <t>Grassland Lost</t>
  </si>
  <si>
    <t>Forest Gained fom Pasture</t>
  </si>
  <si>
    <t>LUC Emission Factors</t>
  </si>
  <si>
    <t>"Forest Gained from Pasture" assume that a percentage of forest soil carbon is gained above existing soil carbon in grassland  and uses higher sequestration rate from regrowing forests</t>
  </si>
  <si>
    <t>Seq.</t>
  </si>
  <si>
    <t>Storage derating factor taken either from Fargione et al, 2008 or from IPCC (see factors sheet for details)</t>
  </si>
  <si>
    <t>Global Time Factors</t>
  </si>
  <si>
    <t>Parameters of Emissions Calculation</t>
  </si>
  <si>
    <t>㜸〱敤㕣㕤㙣ㅣ㔷ㄵ摥㔹㝢搷㍢㙢㍢〹昹㉢㈹愵戸㝦搰攲㘸㐹搲㠴㌶愰㌴昸㈷㝦慡搳㤸搸㐹昸摦㡥㜷敦搸㐳㜶㘶捣捣慣ㄳ㤷㥦㤶㔲晥挵〳〲㉡愸㉡㈴㠴㜸〰㈴㄰㉦㈰㄰㍣昳〲〸〹㠹㌷愴昲〲て晣㈸ㄲて㍣挲昷㥤㍢戳㍢扢敢ㅤ㍢摢〲づ昲㑤㝣㝣攷摣㥦戹昷㥥㜳捦㌹昷㥣㍢捥ㄹ戹㕣敥㕦㐸晣捤㌴捣捣㍤ぢ敢㘱愴摣捡㡣摦㘸愸㕡攴昸㕥㔸㤹ち〲㙢㝤捥〹愳㈱㔴㈸㔶ㅤ㤴㠷㠵㙡攸㍣愳㑡搵㌵ㄵ㠴愸㔴挸攵㑡㈵㌳㡦㜲㜶挲㥦㍤挹㠳挹㔶㘳挳〰㤷㘷愶㉦㉤㝤ㄸ扤㉥㐴㝥愰づ㑦㕣搵㙤㑦㍤㔶㜹戴㜲昲敤㐷㉡㐷づ㑦捣㌴ㅢ㔱㌳㔰愷㍣搵㡣〲慢㜱㜸㘲扥戹搴㜰㙡㑦慡昵㐵晦扡昲㑥愹愵㈳㡦㉥㔹挷ㅦ㍦㝡晣挴〹晢攴挹挷挷昰攲摣摣捣昴㝣愰散昰㌵改戱挰攱ㅥ㥦㔵㌵㠷昳㔲㉡㜰扣攵捡捣㌴晥愷挶㡥愷挷㉡ぢ㉢㑡㐵㝣戱ち㤴㔷㔳愱㠹㠶愳敥㔴ㄸ㌶摤㔵㉥㥣改㥥挵㌴㙢㔶ㄸㄵ摣ㄹ搵㘸㤸㙥搲㙢挹扤㠴㜵㙢㔸敢㘳敥㠲昲㐲㈷㜲搶㥣㘸扤攸㉥愲愳晡戸㝢㈵㔴㤷㉤㙦㔹㍤㘵戹慡攰㥥㙢㍡昵㘱㥤㜲㐳㙦㐹扡㐸て㑣㈶㕦㤹ち摤㤹ㄵ㉢㤰ㄱ㠵㕣㤶㡣扡㘷㠳㕡㘷摤〷晡昷换愱换ㅢ搸攷㐳晤敢愱攴慡ㄵ戴㙡㑥昶慦ㄹ㑦扥㜳〴㙦敢㕦㍦戵㐶㥤㙤ㅥ改摦㐶㤶戲戳戶㌱ㅡ昳戶慣㈸㈶㘳ㄶ〹㐶〸㑡〴㈴愰㔹㈶ㄸ㈵ㄸ〳㌰㠶晦㠱ㅤ㤲㙥挸愲㝣搵捡㔷㤷昲搵㕡扥㕡捦㔷㔵扥㙡攷慢换昹敡㑡扥敡攴慢ㅦ捥㔷慦愳㑥㤲㑡㈳㈳昹㌸扤昲攷扦敤晤攷换挷捦㝤攱㜷扦扣㙦昱愵㈷㝥㍥戶ぢ㤵摥ㅤて㙡㌶戰㙥㠰搵摡㍣㝣慣㠲ㅤ戱㤵㍤㠱㉤㘱㥦戰ㅦ戳㡦ㅥ慤㥦㌸㘲㍤㙡ㄵ㌸慤っ攲㜷㌰捡ㅥ搴ㅤ戳慦㌹㕥摤扦㈱戴扢㘷摡ち㔵㝢攱㈶攳戲㘹扦改搵挳㌷㙣㕣戸㄰㔹㤱扡扢扢慣摤㐹㑦戳〵㙣㉢ㄵ捡晢敥敤㙥㜶搵㙡㌴搵搴㑤㐷ㄷ扦戱慢搸㥤て晣愵晥愵㘷〳昵㤱㔶㘹捦㠸愶㈰搰搶愴敦㥥㔹敡㈲㍤慥㠹㤹ㄵ㍦㔴㥥っ㙦搲㥤㜷㙡搷㔵戰愰㈸づ㔵㕤愶㝡㠰㐵昱慥㥦扣攴㘱愲搸慤昵晢搳㔸晢捣捤〸㥢㔹搵㌱摥㔵ㄵ㐴敢㡢搶㔲㐳ㅤ散愸愲摦㠹㠲㐳ㅤ攸戳㝥慤ㄹ捥昸㕥ㄴ昸㡤捥㤲愹晡㥡〵㐹㔳扦攸搷搵昰㜰㑥㠴〲㠴敤搰㤰㘱攴摥摡㝦㉦〸㈱㔲㈴收㐶㝥㝤㈷摢㔵㉥㘳㜶㤸㐵㐳㤱㈷昳て㙥搲ㄹ挷㉢㌲㈶㘳〷愶收㐴摤挱㤷㍥扣㐹户㉤捡晤㘷㉢攷昳晢攲搹㥦㔹㔳㕥㜴摥昲敡つㄵ㘴㙡㍥㠳㈳㌲㜷〳ㄴ㙥㐱㈰昴㕤㍤慡㌹攳愶戱㕥戸攱搴愳㤵攲㡡㜲㤶㔷㈲攰愰ㅤ㑢㈵㉥㙤㑦㌲㕦〷㤴戹㤷㘰ㅦ㐰戹㥣㉢敥㘷愵㘲ㄹ㈹㔷愰㜴捡搸换ㅤ㠲㥣敤㍡昶昲㤸㝤搶㘹㐴㑡ぢ攵摤㌶㈸愲戵㥡㤰㙦㥣㉣ㅡ㔸㌵慤㌰昶摢㌳攰㔲换昱愲昵昶扥敤搹㈵㥡㠹㜶㘴挱戶㤳〵ㄴ〵㥤昲㈰㘳慦㠱㘹扡愴㐱㜶攵ㄴㄳ㜱ㅢ㘴㘸㜶昴摣挹㘴慣㥦㈱㈳㔰㍦捤㠴慣㝤愴扦㡣㈰戳昷㌲㈹ㅢ昵摤㡦㍢搲㙣㈳㍢㕥㑢戳〳㔸㌸昳㈰挱㕤〴慦㈷㌸〴㘰晣〹ㄲ㡥㔲づ昹捥㘴扥〱捦收㍤〴㙦〴㠰㝣㌲㈹㜳㘲㔱㐵ㅢ㙡㉢㜶㈴敢㡤挳㑥ㄶ愳㔸㡢㈲㕡挶㉤㍢㜳摣ㄵ㐲挷㔶攷昶搰戵挳愲㘳摦摣㥦㌷搳搳㈱㐷㘶㔴㑤捦㜵㤳慡改㠵㘰搵〱昵搶㥢搰搴㥣㈰戸て㐰㉢ㄶㅡ扢㕢戳收㘹㑥摥ㄱ㈶㤱㌶㠴〶㔴敥㌱ㄳ搳晣捦㄰㜰㍤㐷㤷ㅤ晢㤹愶攰愴㝤挷摢捦㠷晢敦敤㤸攸㕤㍡㜳㐷攷搰㑦㜴㥢ㄶ昴晤搸㕥挶ㅦ晡敡㤷〷㔱㙣㍥㐴昰㘶㠰㉥晤挲㤳昷敤㝡〹挴㈴㜶㔳㤴摢㑢㡦㡢㔸戸㡢敢慢㑡戴捦㤸扤㘸〵换㉡㠲昷攲挲㉣散㘰㍦〸㔴〳〷摡扡㈰㜸㜶戹慢ㄳㄹ㥥つ㝣㤷昸ㅤ晢㌸扣㈳ㄴ挳昰㜰㝥㈸搷㘵ㅦ㘷搸㤹㈹㝦㔳㡡㜳愸㝦ㅦ敤㉦㈴㔲㡤㍡搹㡢敤戲捦㤶㍢㤲㘴〰㐹昲㌰㤶搵㝣〴〰㔲挲昸㝤㕦㠹㌲挹㙡㠷愵㕡愷戵㑡敦㕥挶挹愴换㝦搸㈳㐷㐶戵戳㜶ㅡ扥㠳㜰摣㕤㜰摣㤶戰ㄸ㜵攷㔵㔰㠳㕦挱㘹愸戲㜶挹㔲搴散挸㡡㍢㐴㔶っつ昵㥣愵㌳㝣㙢挲㈷㕤㔲㈲㜳户㘷ㄶ㘶㥣挳摢㑣㐵ㄷ㈴㠵㑡㠶㕢愸㈵㠱挸㜹慣扢㈳㘲〶㄰㌱ㄵ㉣㥣昹㌶㠲㈳〴㐷〱ち扦㠱愴搹敡挲㌳っ㌶戲㐶㜷㜶戵㥡㉢㤱っ攲ㅥ晣㜵㕦㘱㜵㥣慦㌹㐱昰㜶㠰㉥昳㠷捥挷っ㐶ㄴ㤲愷ㄸ㤱搶㤲㘹㕦㜵搴つ昲挰㉥ㅢ㐱愵㤹㘶ㄸ昹㉥愳㑡攳昶慣晦㤴ㅦ捤㍡攱㉡愲㔰晢散㌸㜳㙤㐵㜹攰慥〰戶㑦ㄷ捥㕦㕤㔵㜵搳㕥昰㥢㄰㙤ㄷ㘶户挳愱ㅣ昳㠳㉤㈹攷昲扣㠱㌴搸搹ㄸ㕤ㄸ㜲㈲㠶慦㤵㥥搸㉤㜹扥㜹攸摢摤㕥搱㐵㈷㙡愸㔱㕢㙦㍡收㑢㌶㔶ㄱ㔱㠳晡㠸扤戸ㄲ㈸㌵㍢㙥㥦ぢ㥣㝡挳昱ㄴ㠹〱ㅢ㤳㠱扡㌹戵㡣〸挱扣捦昸㥦敦㡤摢㡢㠱攵㠵慢ㄶ㠳㠹敢㝢㍢㥥㈴㈴㔲戰愷ㅤ㉦挴㙢㠴㡡捣敦戶ㄷ㔶晣ㅢ㠸搴㌶㕤敦㥣戵ㅡ㙥ぢ慡㤰改㜵ㄲ搲ㄸ㜹㈳㥦㌷㑡昹搲愰昴攱㠱㍣㤷㍢㠶㥦㘱〲愱㔵慥㐰㝦㜹㠶昶愶㕤ㅦ挷㘷㘸愷㜳㑣㘳㠸ㅣ戵㤰㐳㤹㔲㤸㍢搵㝣㥣㙤㑥〲㥣㍦㜷攵㐲㍢㉡昷㉡㘲搵〵晡昷㌳㈴扣㌰㐵㉢〴㐲敦摣㉥捤㈸挴㤱㙦戰晦㐰㙦㍥㜵㌳㕦搹㤶㍡攴扤㕤敤散㔹挴㤰挶散㌹㙢㐹㌵㄰㠹㜶慤㘸㤷㝥愰ㄱ敢㕡㡤㌰㉥㥢昱㕤搷㈲㘳㤱㈹ㄷ㙡ㄶ昹㜷慡ㄹ昹ㄷㅤ捦戴〱㠴晢㘲㤴㜵ㄳ㈸敢愶愰挶散换っち㑡㥥㝤昹换㔶攰㐴㉢慥㔳㉢昱㠱㠱扢㙤挱㤱搸攲㤴扢㐹㑡㈴挶㐴㤷㉤㝦〵〶㕢㔸〱戱㉢㤰愲㕣㍡ㄲㅦ㝣㥢㌷㡡昸㘷っ攸㔶㠲㜸ㄱㅦ愹昹㑥昴㔶㤰㍢ㄱ㄰㌸㤲㙥㈵㌷㉦㙥㍤ぢ㡣昶捡㤱敡ㄹ㉣〲㝦㘰㑡挴搳戹㕤戴慦㜸㑥〴敡㤱㘲㘷㥤㘸㌶〴挹〱㤰㤵挳敤摤㐲搵㔴愳挹㤶㑥㜸㔳㙦㔱㠷㤲戸户户㍣慤㌵ㅥ摣愰㔸敢㤳㤴ㅡ搹慣㤲攸㤵つ挶戸㥤ㄴ㡤㈱㙡㍢搱㌵㐶㤶搳戴扤敥㤴㈱慦㐲㉤〹捦攴捣㔳挲㈸〸昱㤲㍢愰愱攸慤捦㘶㡦㔴慣㠶ㄶ㐰㤹㕡㑡攳挶攳㘰攰〵㕣㌸愹慢㜲晣㠴晤扤㉢捥㕥㙡㐶ㅤ㈵搶捤㝤㜱挹㔴愳㜱挹㠳㡤㔰戳㠲晡㌶搹搲㤸㥢搶㉦戲㍢〷搵晤㝡㜹㔳ㅢ㌱摥㠶っ㠸㘴㜸㠱戱つ戱戹㔲戱㔴摡㘶攳㕣敡ㄶ扡挴愷㡢捡昲㠴〲ぢ㔱㝤㔶慤㠹ㄱ搶戶攳昷㐹㠳搶㔹㔱攴愸㘹㑦㉤㠵㔰攸ㄱ攵㜸㥣㤳つ㙥摡㤷改㤴挲昵〵㠸摤㌸㌷㕦㡢㄰搴㙤㜵挰㜳挱昶愱づ㔶㐴〷㑤㘸㥢㔱㠲ㄶ㌳ㄸ户㜳ㄲ摣㍢〳㔲ㄴ㠲搴㤶昴昷搳挶㑢摦㘰晡敥改㕣㤲㠹㌷ㄱ〳㕤ㄹ戶〳㠸㥢㡥㐹㜲ㄷ敤㑢㐲攵㕡戲㠹搰ㅡ㑢㜰㌴㌰挶㘹昰〵ㄱ敥敦㌰㡡戵㥢摢愶㠱摢㙤㤱〳㙤摡㔸摦㘵㕦昰㙡㡤㘶㕤㠹㉡㑥㘴戵㘸攴㙤㐱㉦戹昸愷㜷㔳挶扡挴㡢㜲〱〷㈹㑥㤹㐴ㅡ摣敡㌶㥦㐰㜳ㄱ㜲攸㐳换㌶㠶ㅥ㌳㥣㜲ㄲち敢戹愱㐰敢㜰㙦晢敡㠲㕣㥢㠳㐸敢㐱㔱㤶捤攱㈶㕥㉢㝥㉣扢㉤㔵㙤捥㥦昳㘹戱愷㔰攷ㅤ㡤摡ㄶ㌴挲㍣戵挰㉢ㄶ㘱㡣っ戸㍢搸㐹敥㔶ㅣ搷扤昵慣㍣收㙥㥤㡥㡤て㠳搱㕤㥥㠱㜲㔸㔵㙣㈴㥡摢昹戶捤㙤㌰敥㑢扢摢㝣ㄷ㠰挱〰㌰つ㕡搴搴〶捥㌴昲㥢ㅢ㌸っ㐵㘶挴㐶搳㘱㔴㐶㈸昷挱㕤て愲㘱㌷昱ㄸ扤攸㐳〹㐵晢攵㑡㔸㜲㉢㜱搲挵〱挸てづ㜶㈱攷慤〸ㄷ㕦扣㐳㕤攸愹㝡㥤收㉥扣㜳摢㠲慡戸戴愱捤搱晤㕤搷戱㘴㑥戴敦ㅥ攸㉡㠸慦〹ㅥ㥢慤㥣户愲摡捡㐲戴慥慦㙣つ捡ㄲ㠵㕦挰ㅢ戱攱摢㘹㌳て㝢扣㠲扡挶戵㉦㕦昷晣ㅢ㥥㡣慢㄰昲扥ㅦ慤㔸㜳㘴㠴㠳㉣攷晥㠵㝦㤲昲戹挲捦搱攳㔶㠶捤づ摡敥ㄱ昶㈳愹㙣㥥挱㙦㕡㍢ㄳ昸㥤挱㉢戰摦㕢㜷〶挸㉢晢扢㜸㐵㠴挱づ戳㜸换慦ㄹ戳ㄸ㍦〳㘹挹㌰㈰㜸㜲㍤㈴㥦㌳㝥㡡〷ㄲㅤ㌴〰攱捣昳㠴㈰摦㝤昸㥤㐱㍥ㄱ攸昱㈵て㕥〹昹晦愱㔴戲慢㌷摣㔶晦㠵㑤㙤晣〴挴㄰㌲㠱㈶慤㝤㘹晣戸㤳㑣㑦挶㘴㘲㐸昶戶㠲摦㥣挱捥戱昳㍦㝥挱昷㝦㜸散扣〸ち㌳㠹㘵㠶昰摡㠳挸户っ㠳㝣㡦㘱昰㄰㡡挵㌰㜸㡡㙤ㄸ戹搷㠶㐱散昹㤸〷㘲㜳挳㠰昱扣っ昳㉦ㄵ㕥㑤㌹㌳㜸敥㍡攸搲㉢㜶ㅥㄷ㙤㔵㠸ㄸ㍥㔴㔵㌸〳㍦搴㕤扤攸㜹㉢戰摣㐳㠲㍦ㄷ㈸愸戰㘰ㄱ㌷户愵〹㕢摣扤㘱㠹㌴摡挰㐳㤱㜸搶㜷扣㈸㕢扢慦づ㑡改愴㕤昶㐶挹㈸扥ち晦㠸挱搳㐲敥愳晢㝦㜰敥㡦捦扣㜰㥡㌷搴㘲㕥㉤㌰㈴㍣㐸㤸㥥ㄶ〴〲戹愹换㈱〷昸㈱捥㐵㝣㤰攴慣㌶搴戴ㄵ㠸敤ㄳ㥡㙥㤲搵㡣㤷㘲㑣捤㝣摢挱戰挴㕤〷㙤㔸㔶扡㥣㥣昲㈱㤳㌸〶㉢愹㠱㡢㈷㉦〹ㄵㅡ㝤搵搶㠰㌶㘶攱㠷㔰㍣户㌹㤰㑥摢㤰㘷㑤㈶挳昸㐱愲搹㌴㈲㤷㍢㠱昳㠷㍥㐰ㅡ㤳挰㈵㔲ち㌱〷㜲㐸晡昸挲㑢〰㈲愵ㄶ㤰㈹㔴〰㌲愲㘹摤㘱㕤㝡〱㜶㠴㠰㙡㕤昴ㅢ昰愳ㄵ慣㈲愸㤸㜸攰〷㍤挷昲搰㥦愸㈶㠶㘷攵㈴戲㠸㡣ㅣ㔹㠸㘰扣㔶戰㔷㤰㐹㔲攱㈸㜲㕢㜶㐲昱㈵攳慥づ戶改㡤㕤㜰改㘱㉢扢㘷扣㈶㙥㝢㐰捦ㄴ㐵㘱㜸㝢㠹挶㌱㔴攲㜲扡㙡㔹愳〸㜷敢㙣慢搱㘸㕣〴㥤攵ㅤ挲㔹ㄴ〱㍦㝥ㄹ挴昲挹㜶搷〷扡㑢愸攳扣ㄱ㑣㤰㍦戰扦敥捤搸搸㜸㉢㜷っ㈴散㤶㙡㤵昴㜵昰慢㘸挲㐹攷っ戳㥤㤵㘷㠳㜱改㘴㘷つ昵敡㝦㐶慣㘵㘷㕤㘳㙢㠶慥㍢昴晦㝢㠱搸㔴晦ㅢ㡣户〹挹摥ㄷ㘷昸㔰㘰搴㘴搳㐰つ㔷〴晥㙣㠴㙣攴㌸㙣㑡㤶㘱㙥㥤㕢挰㠷慡扡㔸㈴㌸扣㕤挳摤搷㈱㕡㙤㘹摢㡥昶ㄵ㠰㈷㌹愴敦㐰〴昵㙤捦㐱昷㥥㘹㡢ㅦ〰㝡晦㐵愷ㄶ昸愱㙦㐷ㄳぢ〸昴㑥昰㕢㌳ㅢ㌶捦㤴昱敤㙥愱昶〰㔶㘲散㐳㘸㌳㜷〹〲晢㈹ㄵ扤㌶昱㐷㐶ㄳ戶ㄶ扤攰㔷㐷㝢㔲㈱㈵敡㠶昰㜵昶扢㥢㔶〳ㅦ慡㕥㠲㝦㌳㈲㙡㕢愸㍡敤㘵敥扥㤳挱㠵挳慤慣㈷攱〳㔲㡤ち〲㘲㌲㠵昷㝦㤰慢摡扤〶㥤㜵攳戹㠵慣㌹㤸㥦慤㕣昸ㄶ㈸扡戵户㜴㌲っ摦挹敦㡦戵㐷昴〹攴戶敥㤰㘵㑦晢挰攱昱㘷摢㜴㝣㑤㌶攰㉥摢㐲慣晢㘹㌴㌵摥㐵㠰ㅦ搳㡡㌳㝣㌰攸搵攳㈶㌴扥㠹㈹㤱昵㤱捦ㄵ㙢〰晤昹昹攵㡤昸搹愰㔷㐷晡㔷散㈱晥㌱攸㉣㄰㉣戶㐲ㅢ换戳愹㘰㤷搳㔸ㅥ㑢挸挳㘵攳敢㜸〳搷戸戵㔶㠶ㅣ㍤㔰㘶㍡〰㐹㌲㜸昴㤰搱扦㠸捡慤搱㕦〷戶晦攸扦扡攱攸㘹㌴挸㠸搲晤敦㐹㤴㡥改愱搸昴〹㔶〹㍥〲戰㈷搱㍤扢㈹㑥㈹愳㡡㍡㄰昱搳搳挸㈳晤㌶晥晤捡改㕦晦㡡改慦愷つㄱ愰㈸敡㥣〵〵愸捣攲㑢改㔹㐴挰昶㥦挵ㄷ㌷㥡挵ㅥ捡㔶㡥挴㕣〳ㄸㅦ㌲㥥挶慦摥㔹㔹挰㑡慤㥢㔲㙢て〹㐶て㡤戹㑥昰っ挱㐷〹㍥㐶昰㜱㠲㑦〰㡣攷昷㤰㠶㔲昱㔹㈲㥦㈳昸㈴挱昳〴㥦㈲㜸〱〰ㄵ㐹㔶愹昸㘹㈲㍦㐳昰㔹㠲捦ㄱ㝣㥥攰ぢ〰愸㤸慣㜶㠱ぢ㥣昱㜱㤱搸㙢扣㡣挹㕥㡢摡㈵㕣搴㕡扡攴挶扥攰㙤㈱慤㘲㉦㝥㕦ㄵ㔳ㅣ昰㥥㠱搱㑣〸㝥晥㝣散㠹换攵攳挸ㄷㄸ㑥〴㡡㐱〶攵㐲ㅡ㔱㔲昹㐷㍦㙥㍢㠸㔰㠰〴慥搴㤵挹挸㔲㌹㑣㉡ㅦ挳㔷㘱㔲〷㍤敢昴㑡㔲㤹っ㉦㤵㠳愴昲㕦㡥ㅤ㙡㔵㑥昸㍢㤶㙢㘴扥っ摢㕢㑥㈳愹㉦挴㜹挸㉦搸搴攷愳戶㐶㔳㤶㑢〰扢㈱ㅡ㝤っ㔷㔲〲㝣愳㍤㠷晢㔵戸㠸〲戱慦晦㔴挳〵摣扢㥡戵㈲ぢ㥦㘰慦㈱攴ㅤ㤸昲挴挶㐵晢㔲〰挴㠸㝤㈱挴ㄹ慦扥慤㔸〴收挹戰㕥摦㑤㐲〳ㄹ愶㙣㝢㍤㤲㔰㕤㥥㌷㔹〶㔳㘷ㄲ摥ㄹ㌶㔶ㄳ捡收㥥㙢昳㡣昹㘵㄰〷ㅥ㈲㐰㘶捡㍡ㄴ戴㥦て〶愵〷㐹㕤晣ち挰敥攴㙦㘱㑣慣㠹㡢㈶㙦㌴㤲晥搲㥣㘲㝥㡤つ㕥〴ㄸ㠲㝦搸㠸昹慣愳摦〲愵搰㍢晢㥢扦㍣摤㈶摦收㈳㘶搹昱ㄱ晥ㄹ㝣㔴扦捥㑥㠷昰ㄷ㐵ち㘲慢て攷摦㌱㔸㕦攴愳〲扡㤲㥦ㄵ㑣收㔵昴挳昵㙢㥢㡤散㔱㌴㥢㐱㔹换改ㅡ换攸㥦敦愰ㄵ㕥㌶㈸㝤〵㙤挷攸㠳㠲愶㍣ㄶ戴㡡搱扣挶㔰㌶㈸愱〵㕤㡦搱てぢ㥡㌲㕢搰戵ㄸ晤㠸愰㈹扡〵扤ㄴ愳昵㐸㥥㑢搰㔶㡣搶㈳愱㜸㤷摡㑦挷㘸㍤㤲攷ㄳ㜴㌵㐶敢㤱㔰〵㐸敤て挵㘸㍤ㄲ㉡〵㐱㝦㌰㐶敢㤱㔰㌷〸晡〳㌱㕡㡦㠴摡㐲搰敦㡦搱㝡㈴搴ㅦ㠲㝥㕦㡣搶㈳愱㐶ㄱ昴㝢㘳戴ㅥ〹㜵㡣愰摦ㄳ愳昵㐸愸㜵〴㝤㉤㐶换㐸ち㘴昲㉤敦㌶搲㜲㐰㍢散㝢㘸㙡㜰〷昰㠵收昷昹㈴㈸㍥㌹〰㐹㌲愴〸㑦ㅤ搸搱㝦〳㠳敦戸㔲</t>
  </si>
  <si>
    <t>Above and below ground are broken out based on historically-weighted averages for each region.</t>
  </si>
  <si>
    <t>Foregone C is lost annual sequestration (Mg C/ha/y) in existing forests (except for EU and FSU, assumed to be regrowing.)</t>
  </si>
  <si>
    <r>
      <t>Lost above- and below-ground C</t>
    </r>
    <r>
      <rPr>
        <b/>
        <sz val="10"/>
        <color indexed="8"/>
        <rFont val="Calibri"/>
        <family val="2"/>
      </rPr>
      <t xml:space="preserve"> (Mg C</t>
    </r>
    <r>
      <rPr>
        <b/>
        <sz val="10"/>
        <color indexed="8"/>
        <rFont val="Calibri"/>
        <family val="2"/>
      </rPr>
      <t xml:space="preserve">/ha) and Foregone sequestration (Mg C/ha/y) </t>
    </r>
  </si>
  <si>
    <t>GTAP AEZ</t>
  </si>
  <si>
    <t>Woods Hole Region</t>
  </si>
  <si>
    <t>Above</t>
  </si>
  <si>
    <t>Below</t>
  </si>
  <si>
    <t>1 USA</t>
  </si>
  <si>
    <t>2 CAN</t>
  </si>
  <si>
    <t>3 EU27</t>
  </si>
  <si>
    <t>Region is assumed to be gaining forest and 75% of previously lost soil C</t>
  </si>
  <si>
    <t>4 BRAZIL</t>
  </si>
  <si>
    <t>5 JAPAN</t>
  </si>
  <si>
    <t>Rest Of World</t>
  </si>
  <si>
    <t>6 CHIHKG</t>
  </si>
  <si>
    <t>China India Pakistan</t>
  </si>
  <si>
    <t>Global forest values substituted here</t>
  </si>
  <si>
    <t>7 INDIA</t>
  </si>
  <si>
    <t>8 LAEEX</t>
  </si>
  <si>
    <t>9 RoLAC</t>
  </si>
  <si>
    <t>10 EEFSUEX</t>
  </si>
  <si>
    <t>11 RoE</t>
  </si>
  <si>
    <t>12 MEASTNAEX</t>
  </si>
  <si>
    <t>North Africa / Mid. East</t>
  </si>
  <si>
    <t>13 SSAEX</t>
  </si>
  <si>
    <t>14 RoAFR</t>
  </si>
  <si>
    <t>15 SASIAEEX</t>
  </si>
  <si>
    <t>16 RoHIA</t>
  </si>
  <si>
    <t>17 RoASIA</t>
  </si>
  <si>
    <t>18 Oceania</t>
  </si>
  <si>
    <t>UptakeYears</t>
  </si>
  <si>
    <t>RegainedSoilC</t>
  </si>
  <si>
    <t>Emissions factors by land cover type and region. Above and below ground factors are in Mg CO2e/ha; Lost sequestration is the lost annual rate, Mg CO2/ha/y.</t>
  </si>
  <si>
    <t>Undiscounted CO2e emission factors (Mg CO2e/ha for Above and Below; Mg CO2e/ha/y for Lost Seq.)</t>
  </si>
  <si>
    <t>AEZ</t>
  </si>
  <si>
    <t>Crops</t>
  </si>
  <si>
    <t>Livestock / Pasture</t>
  </si>
  <si>
    <t>Lost Seq.</t>
  </si>
  <si>
    <t>Emission factors (Mg CO2e/ha)</t>
  </si>
  <si>
    <t>All at time zero, no discounting</t>
  </si>
  <si>
    <t>forestry</t>
  </si>
  <si>
    <t>unmngland</t>
  </si>
  <si>
    <t>crops</t>
  </si>
  <si>
    <t>livestock</t>
  </si>
  <si>
    <t>880084b3-63ac-419e-8040-52e9a005683d</t>
  </si>
  <si>
    <t>e0954e7d-e8d3-4290-a771-045461308a26</t>
  </si>
  <si>
    <t>㜸〱敤㕣㕤㙣ㅣ㐷ㅤ扦㍤晢捥户㘷㍢㑥㘳㈷㙤晡㤱扡㥦戴㌸扡收戳㙤㔴㠵搴ㅦ㜵㘲敡搴㙥捥㐹㠵慡㜲慣敦㘶敤㙤昶挳散敥㌹㜱㉢㘸㤱晡㠰㠰㍥㈰㥥愸㄰〸愹慡㡡㤰㤰摡〷㐴昹㜸攵㠹㈲㥥㜸㐳㉡㉦扣㔰愱㐸〸㕥换敦㌷戳㝢户㜷攷㕢㍢搷ㄶ㉥挸攳㜸㍣㍢昳㥦搹㤹昹㝦捥晦㍦㥢㡣㤶挹㘴㍥㐱攲㕦愶㐱ㄶ敥㉥㙦〵愱㜰㑡戳㥥㙤㡢㙡㘸㜹㙥㔰㥡昶㝤㘳㙢搱ち挲〱〰攴㉢ㄶ摡㠳㕣㈵戰㕥ㄱ㠵捡愶昰〳〰攵㌲㤹㐲㐱捦愲㥤㠳昰㜷㝦晣愰戳搷挸㈰戲㑢戳㌳㑢慢㉦㘳搴㜲攸昹攲攸攴ㄵ搵昷散ㄳ愵㤳愵㌳㡦ㅦ㉢ㅤ㍢㍡㌹㕢户挳扡㉦捥扡愲ㅥ晡㠶㝤㜴㜲戹扥㙡㕢搵㘷挵搶㡡㜷㔵戸㘷挵敡戱㤳慢挶愹㈷㡦㥦㍡㝤摡㍣㜳收挹ㄱ扣㌸戳㌸㍢戳散ぢ㌳昸㑣㐶捣㜱扡愷收㐴搵攲扡㠴昰㉤㜷慤㌴㍢㠳㝦㠹戹攳改㠹㔲㜹㕤㠸㤰㉦ㄶ扥㜰慢㈲搰搱㜱搸㤹づ㠲扡戳挱㡤搳㥤㜹㉣戳㙡〴㘱捥㤹ㄵ戶慤㍢昱愸〵㘷〹晢㘶ㅢ㕢㈳㑥㔹戸㠱ㄵ㕡㥢㔶戸㤵㜷㔶㌰㔰㙤搴戹ㅣ㠸㑢㠶扢㈶㥥㌳ㅣ㤱㜳捥搷慤摡愰㑡㤹㠱㉦挴㐳㈴㈷㈶ㄷ㕦㥡づ㥣搹㜵挳㤷㌳ち戸㉤㈹戰昳㝥戵ㄵ昶㠱敥攳㜲敡昲つㅣ昳愱敥㜰㘸戹㘲昸つ挸愹敥㤰搱攲㕢㘷昰㔸㜷昸挴ㅥ戵昶㜹戴㝢ㅦ戹㤵慤搰摡㜰㐴摢㜲㐷戱ㄸ㍤捦㙣㠸㔹㠱ㄹㄱ愸ㄷ㤹つ㌳ㅢ㐱愶つ晥ㄳㅣ㤲散挸愶㙣挵挸㔶㔶戳㤵㙡戶㔲换㔶㐴戶㘲㘶㉢㙢搹捡㝡戶㘲㘵㉢㉦㘷㉢㔷〱ㄳ愷挲搰㔰㌶㑡㠷晥晤慦昷㝦晦挶挷戳㍦㝦晢摤昷昲㙦㉥㙣㡣散〳搰昳搱愴收㝣攳ㅡ㐸慤㐹挳㈷㑡攰㠸摤昰〴㔸挲㍣㙤㍥㘱ㅥ㍦㕥㍢㝤捣㌸㘹攴戸慣ㄴ攴户㄰捡㝥挰㡥㤸㉦㔸㙥捤扢㈶㜱㜷昷㡣ㄱ㠸收挶㑤㐵㙤㌳㕥摤慤〵㜷㙤摦㔸づ㡤㔰摣搹摥搶ㅣ愴愳㕢ㄹ㙣㈵〲昹扥㈳敤摤慥ㄸ㜶㕤㑣㕦户㔴昳㍤㙤捤捥戲敦慤㜶㙦㥤昷挵搷ㅢ慤ㅤ㌳㥡㠶㐰摢㤴㘳㜷慣㔲㌵愹㜹㑤捥慥㝢㠱㜰攵昴愶㥣㘵慢㝡㔵昸㘵㐱㜱㈸㙡㜲愹〷搹ㄴ㜱晤搴㤲㡢㠵㠲㕢㙢昷㈷㙢捤㘷慥㠷㘰㘶㔱挳㝣㌷㠴ㅦ㙥慤ㄸ慢戶㌸搴〲愲摥㠹㠶挳㉤搵昳㕥戵ㅥ捣㝡㙥攸㝢㜶㙢换㜴㙤搳㠰愴愹㕤昴㙡㘲㜰㌰㈳㠵〲㠴敤挰㠰愶㘵扥搸㥤ㄷ㈴㈲ㄲ㈸㈶㈳摦搱㑡㜶愵㑢㔸ㅤ㔶㘱ぢ搲㘴昶挱ㅤ〶攳㝣愵㡣㐹攱挰挴㥡愸㍢昸搲㐷㜶ㄸ戶㠱戹捦ㄷ㌸㥢ㅤ㡦㔶晦捣愶㜰挳ぢ㠶㕢戳㠵㥦慡昹㌴捥㐸ㅦ㐳㤶扢〱㠱搰㜵昷愸收戴敢摡㔶敥㥡㔵ぢ搷昳敢挲㕡㕢て㔱〷敤㔸㈸㜰㙢㍢㤲㝥ㅢ慡昴〳捣挶㤱ㄵ㡢㤹晣〴㠱昲㐵愴㑣㡥搲㈹㠵㤷㕢〴㌹晢戵昰昲㠸㌹㙦搹愱㔰㐲㜹捣〴㐶㤴㔶㤳攸ㅢ㈵㠹晡㐶㔵㈹㡣〹㜳ㄶ㔴㙡㔸㙥戸搵攴摢づ㉥㔱㐴戴㈷ぢ晡㑥ㄶ㔰ㄴ戴捡㠳ㄴ㕥〳搱戴㐹㠳㜴攰〴ㄱ㤱つ㔲㌴㍢㐶㙥㈵㌲挲愷挸〸挰㈷㠹㤰搰挷扡换〸ㄲ㝢㈷㤱戲㔳㔷㝥摣㤳㘶摢搹昱㑡㥡ㅤ挴挶改㠷㤸摤捥散づ㘶㠷㤱㘹㝦㠳㠴愳㤴㐳戹㌵改㜷攱㔹扦㥢搹㍤挸㈰㥦㜴捡㥣㐸㔴搱㠶摡㡤ㅤ㐹戸㔱搸挹搲㈸㔶愲㠸㤶㜱挳捥ㅣ㜵㈴愲㈳慢戳㍦㜴敤愰搴戱て㜷愷捤攴㜲㐸㤱㈹愰挹戵敥〰㥡摣〸㠲昶愸户敥㐵㔷㝤㤲搹㝤挸㤴㘲愱戱扢㍢㙢㥥收攴㉤㘱ㄲ㈹㐳愸㐷攵ㅥㄱ㌱捤晦ㄴ〱搷㜱㜴搹戳㥦㘹ち㑥㤹户扣晤㝣戴㍢㙦㐷㐸㙦搳㤹㝢㍡㠷㝥愲㥢戴愰敦〷㝢㘹㝦改慡㕦ㅥ㐴戳晥㄰戳㠷㤱戵改ㄷ㥥扣㙦搶㑢㈰㑤㘲㈷㠱戹〳昴戸㐸ぢ㜷㘵㙢㐳㐸敤㌳㘲慥ㄸ晥㥡〸攱扤㔸㤸㠳ㅤ散昹扥戰㜱愰慤挹ち㥥㕤㙥㙦慤っ收㝤捦㘱晤㥥㝤ㅣ摣ㄲ㡡㘱㜰㌰㍢㤰㘹戳㡦㔳散捣㠴扦㈹㐱㌹搴扦㈷扢ぢ㠹㐴愷㔶昲㘲扦昴戳攵㥥㈴改㐱㤲㍣㠲㙤搵ㅦ㐵〶㈹愱晤戹慢㐴㤹㈲搸㔱〹搶㙡慤搲扢㤷㜲㌲㘹昳ㅦ㜶挸㤱㘱攵慣㥤㠱敦㈰ㄸ㜵捡㤶搳㄰ㄶ挳捥戲昰慢昰㉢㔸戶㈸㉡㤷㉣㐵捤㥥慣戸㐵㘴挵挰㐰挷㔹㍡挵户㈶改愴㑤㑡愴㜲㝢㙡㘳捡㌹扣㐹㔴㜴㐱㔲愸愴戸㠵ㅡㄲ㠸㤴㐷搸㍤ㄱ搳㠳㠸㈹㘱攳昴挷㤸ㅤ㘳㜶ㅣ㔹敥㡦㤰㌴扢摤㜸㠶挱㠶㌶改捥慥㔴㌲〵愲㐱扡〷㍦散㉡慣㑥昱㌵愷㤹㍤㡥慣捤晣愱昳㌱㠵㄰㈵捡ㄳ㠴㐸㙢㐹㌷慦㔸攲ㅡ㘹㘰㥦㠹愰搲㙣㍤〸㍤㠷㔱愵㔱㜳捥㝢捥ぢ攷慣㘰〳㔱愸㜱㌳㉡扣戰㉥㕣㔰㤷て摢愷慤捥摢搸㄰㌵摤㉣㝢㜵㠸戶㠵戹㝥㌸㤴㘳㝤戰㈵攵戹㍣慢㈱昵㜶㌶挶㄰㥡㍣ㄱ挳搷㑡㑦散慥㍣摦㍣昴㡤㌵㜷㜴挵ち㙤㌱㙣㉡愶㘳戹㘰㘲ㄷㄱ㌵愸つ㤹㉢敢扥㄰㜳愳收㜹摦慡搹㤶㉢㠸っ搸㤸っ搴㉤㡡㌵㐴〸㤶㍤挶晦㍣㜷搴㕣昱つ㌷搸㌰ㄸ㑣摣㍡搰昲㈴㐳㈲㌹㜳挶㜲〳扣㐶㘲㤱攵㌱戳扣敥㕤㐳愴戶敥戸攷㡤㡤愰㉦戰㐲愲㔷㐹愲㐶换㙡搹慣㔶挸ㄶ㝡挵てて攴㤹捣〹晣づ㌲㤳戸捡攴攸㉦㑦搱摥戴敢愳昸っ敤㜴捥㘹〴㤱愳㐶攵㐰慡ㄴ㈶愷敡㑦戲捦ㄹ㘴ㄷ捥㕦㕥㘸㐶攵㍥㐵慣㍡㐷晦㝥㡡㠴㤷㐴搱〸㠱搰㍢户㑦ㄱち敢㐸㌷攰㍦攰㥢㑦敤挴㔷㌴㈵っ㘹㙦㕦戳㌸㡦ㄸ搲㠸戹㘸慣ちㅢ㤱㘸挷〸昷愹〷ㅡ戱㡥㘱〷㔱摢慣攷㌸〶〹㡢㐴㔹慥ㅡ愴摦改㝡攸㕤戴㕣摤㐴㈶愹㉦慡㌲慥愳捡戸㉥慢㐶捣㑢っち捡㌲挷昲搶っ摦ち搷ㅤ慢㕡攰〳〳㜷㝤㐱㤱㘰㜱捡摤㌸挵ㄲ㘳戲捤㤶扦っ㠳㉤㈸〱搹㈵㐸㔱㙥ㅤ㤱て扡捤㙡㜹晣㘸㍤扡㤵㈰㕥愴㡦㔴㝦ち愳攵攴㥤〸〸ㅣ㤹㙥挴㌷㉦㙥扣㠶ㅡ攵㤵㈳搶㔳㐸〴晥挰㠴㠸愷㜳㍢㙦㕥㜶慤㄰搸㈳挶收慤㜰㉥〰捡㤱愱㈸て户㜷㑡慣㈶㍡㑤㌵㜴挲扤㥤㑤㉤㑡攲㐸㘷㝢㔲㙢㍣戸㑤戳搲㈷〹㌵戲ㄳ㤰搴㉢摢捣戱㥦ㄴ㡤㈶搵㜶慣㙢戴㌴愷㘹㜳摦㈹㐳㍥㠵㕡㤲㌴㤳搱捦㑡㐲㐱㠸㤷搴〱つ㐵㙦㝤㍡㜹㈴㘲㌵戴〰㡡搴㔲慡㙥㌴ち〶㉥攰挲㐹㑤ㄴ愳㈷昰昷扥愸戸㔴て㕢㕡㡣敢攳㔱换戴㙤㉦戹戰ㄱ慡㠶㕦敢ㄳ㤶挶摡㤴㝥㤱摣搹慢敥㔷摢㥢㘰挴㠸つㄹ㄰㐹昱〲㠳つ挱㕣㠹㔸㉡㙤戳㔱㙥㜵愳扡挰愷㡢挲㜰㈵〶捡㘱㙤㑥㙣㑡㈳慣㘹挷㡦换づ㡤戳愲㤴愳扡㌹扤ㅡ㐰愱㠷㤴攳㔱㐹㌲戸㙥㕥愲㔳ち搷ㄷ㈰㜶愳搲㜲㌵㐴㔰户㌱〰捦〵晤㠳ㅤ散㠸ち㥡搰㌶愳〴捤愷㄰㙥敢㈲挸㍢㍤㘲ㄴ㠲搴㤴改ㅦ攷戴户㝥挸昴戳㜳㤹戸㄰㌱ㄱ〳㕤㈹戶〳㤰㥢㡣㐹㤲㡢挶攳㔰戹㤲㙣㔲㘸㡤挴㜵㌴㌰㐶㘹昰昹㈱敥敦㌰㡡㌵㐶戶戱㜱扢㉤戴愰㑤敤慤㝤收㠲㕢戵敢㌵㈱㔵㜱㉣慢愵㐶敥ぢ㝣挹㡢㝦㡡㥢㔲昶㈵摡㤴〵ㅣ愴戸㘴㈲愹㜷慢㕢晦ㄲ扡㑢㈱㠷㌱㤴㙣㘳攸㌱挵㈹㈷㐳㘱ㅤ㌷ㄴ㘸ㅤㅥ㘸㕥㕤㤰搷收㈰搲㍡慡㈸换ㄶ㜱ㄳ慦ㄱ㍦㤶摣㤶〰㕢昴ㄶ㍤㕡散㠹慡ぢ㤶慡敡ぢㅣ㘱㥤㑡攰攵昳㌰㐶㝡攴づづ㤲戹ㄱ挵㜵㙦扣㈶ㅦ㌳㌷捥㐵挶㠷挶攸㉥捦㐰ㄹ散㉡ㄸ㠹收㜶戶㘹㜳㙢㡣晢搲敥搶㥦㐶愶㌱〰㑣㠳ㄶ㤰捡挰㤹㐱㜹㘷〳㠷愱挸㤴搸㘸㌲㡣捡〸攵㌸摣昵㐰ㅡ戸㠹挷攸ㄵて㑡㈸㥣㤰㔷挲攲㕢㠹㔳づづ㐰㥥㝦愸慤㜲搹〸㜱昱挵㍤摣㔶㍤㕤慢搱摣㠵㜷慥㉦戰㡡㑢ㅢ捡ㅣ㥤㘸扢㡥㈵搷㐴晢敥㠱戶㠶攸㥡攰㠹戹搲〵㈳慣慥㤷挳㉤㜵㘵慢㔷㤲挸晤づ摥㠸㙤摦㑥㥢㜹搰攵ㄵ搴㑤敥㝤昱慡敢㕤㜳攵扣㜲〱敦晢搱㡡搵㠷㠶㌸挹㘲收ㄳ晣挸㤴捤攴㝥㡢ㄱ㜷㌳㙤づ搰㜴㡦㜰ㅣ㤹㤴㌴㤸㐴㌹㠵㑥㘰扢㌷敥ぢ㤰㑥㈶摡攸㐴ち㠲㍤㐲㜱搷㍥㌳㐲搱㝥〳戴㤲㔸搴㠱ㅣ㝢晥づ㔸㕦晢㌵㙡㠸㜰㍣㐷㘲㈴㜷ㅦ㑡㈹愸㤳㠲㍣扡摣挱慢㈰晦㍦㔸㡡戹㜹㕢㜶晡㉦㌰戳昶㐱㍢㡡㡥㄰㐵扦敡㐴ㄱ挳戰㌷ㄵ昰收散昷㡥㥡㥦晢愵摥晦攱㔱昳换挰㌰㤳戴挶㄰㔲㘳㈸扥㘱っ㘴㍢㡣㠱㠷搰㉣㡤㠱㘷搹㠷搱㝡㘵っ㐴摥㡥㡢愸搸搹ㄸ㘰っ㉦挵攴㑢㠴㔴ㄳづっ㥥戵づ㌹昴㠴㕤挰攵㕡ㄱ㈰㙥て昵ㄴ捣挲昷㜴㝢㘷昵戲攱ㅢ捥㘱㔹㝦摥ㄷ㔰㕢晥ち㙥㙢换㉥散㜱攷戶㉤戲搳㌶㕥㠹搸㥢扥攷㌹搹摤ㅤ㜵㘰㑡㈵攵愶搷ち㕡晥㔳昸㐴㌴㥥㄰㌲慦㑥晣攲晣㕦㕦㜹攳ㅣ㙦愵㐵戴㥡㘳ㄸ戸㤷搰㍣㉤〷〴㙦ㄳㄷ㐲づ昲攳㥢㡢昸〸挹摡戰挵㡣攱㑢㝢㈷搰㥤戸愸〸㉦㐱㤸㡡昸晡挱㤸挴晤〶㘵㑣㤶摡ㅣ㥢昲攳㈵改っ㉣㈵㈶㉥扤㜷㜱㜸㔰敢慡戲㝡戴㉢㜳敦㐳改摣攴㐴㕡敤㐱㥥㉦㤹㌴敤扤㜶慤㜶㥡㕡㑤㥡㠹摡ㄴ㈰㘲㈹㠵㌸〳㈹㈴㜹㘴㘱攰㕦㑡愹㘵ㄴ㜲㈵㘴㈹ㄱ戴昶㔰㉥㑦晥㝢㐲㐰㌴㉥昷昵昸愱ち㜶ㄱ㔸㡣扤敥扤㥥㕤㘹㜵挶慡㠹㈱㔹㜹晡㜸ㅥ〵㜹㑣㘱〵㘳戴戲昶ㄲち㜱捡ㅤ㐷㘹搷㡥㈷扥㘴搴㔱〱㌶挵搸㌹㠷㕥戵愲昳㡣㕢挷つて攸㤹扣㔴ㄸ敥〱㔶攳攸㈹㘳㜱ち戴愸慡㤸㡦愹㘲愳搳㜰搴〴㥤攵ㅥ挶昹ㄳ㐱㍥㝥つ挴昶愹收搰〷摢㕢愸攳摣㈱㉣㤰扦戰扦㡥愴㌰㌶摥㑡㡥㠱㠴摤ㄵ㔴㐱㕤〱㉦愳㡢戴攷㌵扤㔹攴扢㌴㡤戱攸㤸戳〶㍡昵㍦愳搴㤲戳㔶〸捤㜰㜵㡢晥扦㠲㡡ㅤ昵扦挶ㄸ㥢㐴搹ぢ㔱㠱て㌹㐶㑡㜶っ捥㜰㐷攰挳㐶㤸㐶ㅥ㠱㜵㔹㘴㘸㕢㤵捡昸㌸㔵㌵㑢〹づて搷㘰晢ㄵ㠸㐶㕦摡戶挳㕤〵㈰愳㐰戹㜷㈱㠲扡昶攷愴㍢捦戱昹慦愰㝡攲愲㔵昵扤挰㌳挳挹㌲㠲扢㤳晣扥捣㠴捤㌳慤扤搳㉥搴ㅥ挰㑥㡣扣㠸㍥㡢㑢㄰搸捦㠹昰戳㠹㌹㌲㠲戰扢㠸〵扦㌴摡㥦〸㈳㔱㌷〴户㤹捦搷つㅢㅦ愷㉥挱愷ㄹ戲慡㉦㔴㥤昲㉣户摦挳攰挶攱㈶搶戳昰晢〸扢㠴㈰㤸㕣挲㡢㉦㜱㔷摢昷愰ㄵ㌶㕡㕢㐰挸摥㝣㙢挵摣摢挰攸敥摥搲㑡㌰㝣㈷扦㌹㔶㝥て晡㐵㜷敦㠴攵㐸攳愰昰攸㔳㙤㍡扢愶㙣戸挸㜶ㄱ摦㝥〹㕤戵愷㤹攱㔷晦㙡㔴攰㠳㐶㑦摥㔳㉣晣ㄴ㑢㈲改愳㥣挹㝦つ㔹㜷㝡晥〹挰㕡扣〳愴㘷㡤㠷ち㔲㘰㔱晢㌱摡戹㐳㡤㤵㙡昲攰㠰㌶扤㡡㉣㑥ㅡてづ昲摤㍦〲㜰攳摤〲戵摤摦晤搶戶敦愶捡㤷㙢㑢㡥扦㍦㔶ㄹ晡㍡㥡㜵㡢搹换捣慥㈲摢ㅦ㙢㡥㌱ち㐳㑡㤸扣ちㅤ㝣㜰づ㘵愴㍦㐵㝦㍦㍡昷攱ㅦ㤸㍥㍥愷㐹昱㠷愶搶㔵㔰晣挹㔵晣㈰戹ちㄷ戵摤㔷昱晤敤㔶戱㥦㤲㤱㌳搱㌷㤰㡤づ㘸ㄲ㙤㝣㙥㔹ㄵ搱㈷愱㝣〹戵㍦㙥捣㜱㤵㈹摦攴㐸㤳㠷㜷ㄸ改㠸挹㉢㑦㙡㕥㈹扡㠲ㄳ戹㔰晢㠲攱㈳攷㜷㔷㈹㥤敦㌱㍣慦扤ㄹ敦晡㠵ぢ昱〷㑦搹㈸㘰〴慣㉢㈳㤳㔴挲㡤搴扥ㄷ〳扦昷换愶扦ㄳつ㐸㈰つ〵㑣㙡㤲挰摦㡤㠱㑦攰㘳㉡〹㤳㘱昸㥦改愳ㄸ㤸㔴㈷㠱扦ㄳ〳晦晤挴攱〶㜰㑣㘴㤱㘸㈰〵愴㤸慦搲愰㑦㝣㔸捤㜳㜲捥愴㑡ㅣ㌶㔵㌵挵愱㡣晢摡㔲㈹㡥攰㈶㠷㡦㑦㥢ㄷ㜱㉤〹昷㌷㈰㌹搵晦㜰戰㠰敢㑡㜳㐶㘸攰换攵㑤㐴㡡㝤㕤㍥戱㜳摥㕣昲㔱㌱㘴㉥〴㌸㈶搵晡㡡㐴愰攱〷搵晥敥攰㔱㑦戱〶㥢晢ㄱ㐷戸戲扣〰搲㥢㐶㤰㔱㤱㐱敤摢㌱㘶㌳慦㌷㘹㐶摦〲㜲攰㘴㐱捥㐲㔱㐵㔰㈶昸愰㤱㠵㠹敡晣慢挸挶攲晦㐲㘲㜲㔳㝡㌹戲摡ㅢ昱㜸㐹㑡搱扦挱づ摦㐴㌶〰昷慡ㄶ搱㔹换戸㌹扥㜲搷㙢攷捣㝡㔴㉣慦愳慢挶昹昰㠵晡户昸昴㍡㌳㍥挵㜲〹攵㡣㈶㥢摡㙢㠷晦〳㘲㘰捦挲</t>
  </si>
  <si>
    <t>Tropical grassland</t>
  </si>
  <si>
    <t>Tropical moist forest</t>
  </si>
  <si>
    <t>Tropical evergreen forest</t>
  </si>
  <si>
    <t>Desert scrub</t>
  </si>
  <si>
    <t>Tropical woodland</t>
  </si>
  <si>
    <t>Temperate evergreen forest</t>
  </si>
  <si>
    <t>Temperate grassland</t>
  </si>
  <si>
    <t>Boreal forest</t>
  </si>
  <si>
    <t>Temperate deiduous forest</t>
  </si>
  <si>
    <t>Tropical seasonal forest</t>
  </si>
  <si>
    <t>Tropical open forest</t>
  </si>
  <si>
    <t>Temperate seasonal forest</t>
  </si>
  <si>
    <t>Temperate deciduous forest</t>
  </si>
  <si>
    <t>Tropical rainforest</t>
  </si>
  <si>
    <t>Tropical dry forest</t>
  </si>
  <si>
    <t>Shrubland</t>
  </si>
  <si>
    <t>Montane forest</t>
  </si>
  <si>
    <t>Temperate woodland</t>
  </si>
  <si>
    <t>Factor</t>
  </si>
  <si>
    <t>We don't estimate variance around these since these factor are used only in sensitivity analysis currently.</t>
  </si>
  <si>
    <t>Unspecified</t>
  </si>
  <si>
    <t>Storage derating factor</t>
  </si>
  <si>
    <t>0: Searchinger (100% oxidation); 1: Fargione factors; 2: IPCC default</t>
  </si>
  <si>
    <t>Fraction of above-ground carbon not emitted, based on Fargione et al 2008 and IPCC.</t>
  </si>
  <si>
    <t>Default proportion of biomass oxidized by burning, as per IPCC 2006 GPG, Section 5.3.1.2 is 90%.</t>
  </si>
  <si>
    <t>Lowland tropical rainforest</t>
  </si>
  <si>
    <t>Peatland tropical rainforest</t>
  </si>
  <si>
    <t>Amazonian rainforest</t>
  </si>
  <si>
    <t>Woody cerrado and cerradao</t>
  </si>
  <si>
    <t>Grassy cerrado</t>
  </si>
  <si>
    <t>US central grasslands</t>
  </si>
  <si>
    <t>Forest avg</t>
  </si>
  <si>
    <t>Grassland avg</t>
  </si>
  <si>
    <t>Global %:</t>
  </si>
  <si>
    <t>Carbon in replacement crops</t>
  </si>
  <si>
    <t>0: Ignore replacement crops; 1: Use IPCC factor (5 Mg C/ha)</t>
  </si>
  <si>
    <t>98581978-d10d-4bbe-8d43-9c7824aa56db</t>
  </si>
  <si>
    <t>㜸〱敤㕣敢㙦ㅣ㔷ㄵ摦㔹㝢搷㍢㙢㍢〹㐹㥡㌶愵戴愶て㘸㜱戴㑤搲㠶㌶愰㄰晣挸挳慡搳㤸搸㐹㜹戵摢昱敥ㅤ㝢㥡㥤ㄹ㌳㌳敢挴攵搱昲㝥愹ㅦ㄰㔰〱㐲㐸㠰昸〰㐸㈰㈴〴㉡㠲㙦㝣攰〳㐵晤挴㌷愴昲㠵㉦㍣ㄴ㠹㍦愰晣㝥攷捥散捥敥㝡挷敥戶〵ㄷ昹㈶㍥扥㜳敥㘳敥扤攷摣㜳捥㍤攷㡥㜳㐶㉥㤷㝢〵㠹扦㤹㠶㤹戹㙤㜱㈳㡣㤴㕢㤹昱ㅢつ㔵㡢ㅣ摦ぢ㉢㔳㐱㘰㙤捣㍢㘱㌴㠴ち挵慡㠳昲戰㔰つ㥤愷㔵愹扡慥㠲㄰㤵ち戹㕣愹㘴收㔱捥㑥昸戳㉦㜹㌰搹㙡㙣ㄸ攰搲捣昴挵攵愷搰敢㘲攴〷敡挸挴ㄵ摤昶搴㐳㤵〷㉡㈷摦㝤戴㜲昴挸挴㑣戳ㄱ㌵〳㜵捡㔳捤㈸戰ㅡ㐷㈶ㄶ㥡换つ愷昶㠸摡㔸昲慦㉡敦㤴㕡㍥晡挰戲昵攰挳挷ㅥ㍣㜱挲㍥㜹昲攱㌱扣㌸㌷㍦㌳扤㄰㈸㍢㝣㕤㝡㉣㜰戸て捥慡㥡挳㜹㈹ㄵ㌸摥㑡㘵㘶ㅡ晦㔳㘳挷搳㐳㤵挵㔵愵㈲扥㔸〵捡慢愹搰㐴挳㔱㜷㉡っ㥢敥ㅡㄷ捥㜴捦㘲㥡㌵㉢㡣ち敥㡣㙡㌴㑣㌷改戵攴㕥挴扡㌵慣㡤㌱㜷㔱㜹愱ㄳ㌹敢㑥戴㔱㜴㤷搰㔱㝤摣扤ㅣ慡㑢㤶户愲ㅥ戵㕣㔵㜰捦㌵㥤晡戰㑥戹愱㜷㈶㕤愴〷㈶㤳慦㑣㠵敥捣慡ㄵ挸㠸㐲㉥㑢㐶摤戳㐱慤戳敥㕤晤晢攵搰攵つ散昳㥥晥昵㔰㜲挵ち㕡㌵㈷晢搷㡣㈷摦㌹㠲晢晢搷㑦慤㔱㘷㥢晢晡户㤱愵散慣㙤㡣挶扣㉤㉢㡡挹㤸㐵㠲ㄱ㠲ㄲ〱〹㘸㤶〹㐶〹挶〰㡣攱㝦㘳㠷愴ㅢ戲㈸㕦戵昲搵攵㝣戵㤶慦搶昳㔵㤵慦摡昹敡㑡扥扡㥡慦㍡昹敡㔳昹敡㔵搴㐹㔲㘹㘴㈴ㅦ愷ㅦ晣戳昲搴㑢㈳愷收㝥㜴敡敢㝦昸晤㉦㥦㕢ㅢ摢㠳㑡ㅦ㠸〷㌵ㅢ㔸搷挰㙡㙤ㅥ㍥㕥挱㡥搸捥㥥挰㤶戰㑦搸て搹挷㡥搵㑦ㅣ戵ㅥ戰ち㥣㔶〶昱㍢ㄸ㘵ㅦ敡㡥搹㡦㌹㕥摤扦㈶戴扢㙤摡ち㔵㝢攱㈶攳戲㘹扦改搵挳户㙥㕥戸ㄸ㔹㤱扡戵扢慣摤㐹㑦戳㐵㙣㉢ㄵ捡晢㙥敦㙥㜶挵㙡㌴搵搴㜵㐷ㄷ扦慤慢搸㕤〸晣攵晥愵㘷〳昵戱㔶㘹捦㠸愶㈰搰搶愵敦㥥㔹敡㈲㍤慥㠹㤹㔵㍦㔴㥥っ㙦搲㕤㜰㙡㔷㔵戰愸㈸づ㔵㕤愶㝡ㄳ㡢攲㕤㍦㜹搱挳㐴戱㕢敢㜷愶戱昶㤹敢ㄱ㌶戳慡㘳扣㙢㉡㠸㌶㤶慣攵㠶㍡搴㔱㐵扦ㄳ〵㠷㍢搰㘷晤㕡㌳㥣昱扤㈸昰ㅢ㥤㈵㔳昵㜵ぢ㤲愶㝥挱慦慢攱攱㥣〸〵〸摢愱㈱挳挸扤慢晦㕥㄰㐲愴㐸捣㡤㝣㑢㈷摢㔵㉥㘱㜶㤸㐵㐳㤱㈷昳㜷㙦搱ㄹ挷㉢㌲㈶㘳〷愶收㐴摤挱㤷摥扢㐵户㉤捡扤戱㤵昳昹〳昱散捦慣㉢㉦㍡㙦㜹昵㠶ち㌲㌵㥦挱ㄱ㤹㝢〱ち㌷㈰㄰晡慥ㅥ搵㥣㜱摤搸㈸㕣㜳敡搱㙡㜱㔵㌹㉢慢ㄱ㜰搰㡥愵ㄲ㤷戶㈷㤹㙦〱捡摣㑦㜰〰愰㕣捥ㄵて戲㔲戱㡣㤴㉢㔰㍡㘵散攵づ㐱捥㜶ㅤ㝢㜹捣㍥敢㌴㈲愵㠵昲㕥ㅢㄴ搱㕡㑤挸㌷㑥ㄶつ慣㥡㔶ㄸ〷敤ㄹ㜰愹攵㜸搱㐶㝢摦昶散ㄲ捤㐴扢戲㘰挷挹〲㡡㠲㑥㜹㤰戱搷挰㌴㕤搲㈰扢㜲㡡㠹戸つ㌲㌴㍢㝡敥㘴㌲搶捦㤰ㄱ愸㥦㘶㐲搶㍥摡㕦㐶㤰搹㝢㤹㤴㡤晡敥挷㕤㘹戶㤹ㅤ慦愵搹㑤㔸㌸昳㄰挱捤〴户㄰ㅣ〶㌰晥〶〹㐷㈹㠷㝣㘷㌲摦㡡㘷昳㌶㠲户〱㐰㍥㤹㤴㌹戱愸愲つ戵ㅤ㍢㤲昵挶㘱㈷㡢㔱慣㐵ㄱ㉤攳㤶㥤㌹敥ち愱㘳慢㜳㘷攸摡㘱搱戱敦攸捦㥢改改㤰㈳㌳慡愶攷扡㐵搵昴㐲戰敡㠰㝡敢づ㌴㌵㈷〸摥づ愰ㄵぢ㡤摤敤㔹昳㌴㈷摦ㄴ㈶㤱㌶㠴〶㔴敥㌱ㄳ搳晣捦㄰㜰㍤㐷㤷㕤晢㤹愶攰愴晤愶户㥦㡦昴摦摢㌱搱扢㜴收慥捥愱㥦攸㔵㕡搰㜷㘲㝢ㄹ㝦改慢㕦敥㐶戱㜹て挱㍢〰扡昴ぢ㑦摥慦搶㑢㈰㈶戱㥢愲摣㝥㝡㕣挴挲㕤摡㔸㔳愲㝤挶散㈵㉢㔸㔱ㄱ扣ㄷ㜳戳戰㠳晤㈰㔰つㅣ㘸敢㠲攰搹攵收㑥㘴㜸㌶昰㕤攲㜷敤攳昰㑤愱ㄸ㠶㠷昳㐳戹㉥晢㌸挳捥㑣昹㥢㔲㥣㐳晤晢㐰㝦㈱㤱㙡搴挹㕥㙣㤷㝤戶摣㤵㈴〳㐸㤲㝢戱慣收㝤〰㤰ㄲ挶㥦晢㑡㤴㐹㔶㍢㈲搵㍡慤㔵㝡昷㌲㑥㈶㕤晥挳ㅥ㌹㌲慡㥤戵搳昰ㅤ㠴攳敥愲攳戶㠴挵愸扢愰㠲ㅡ晣ち㑥㐳㤵戵㑢㤶愲㘶㔷㔶扣㐹㘴挵搰㔰捦㔹㍡挳户㈶㝣搲㈵㈵㌲㜷㝢㘶㘱挶㌹扣捤㔴㜴㐱㔲愸㘴戸㠵㕡ㄲ㠸㥣挷扡扢㈲㘶〰ㄱ㔳挱挲㤹昷ㄳㅣ㈵㌸〶㔰昸ㄳ㈴捤㜶ㄷ㥥㘱戰㤱㜵扡戳慢搵㕣㠹㘴㄰昷攰㡢㝤㠵搵㠳㝣捤〹㠲㜷〳㜴㤹㍦㜴㍥㘶㌰愲㤰㍣挵㠸戴㤶㑣晢㡡愳慥㤱〷昶搸〸㉡捤㌴挳挸㜷ㄹ㔵ㅡ户㘷晤㐷晤㘸搶〹搷㄰㠵㍡㘰挷㤹挷㔶㤵〷敥ち㘰晢㜴攱晣戵㌵㔵㌷敤㐵扦〹搱㌶㌷扢ㄳづ攵㤸ㅦ㙣㐹㌹㤷攷つ愴挱捥挶攸挲㤰ㄳ㌱㝣慤昴挴㙥换昳捤㐳摦摥昶㡡㉥㌹㔱㐳㡤摡㝡搳㌱㕦戲戱㡡㠸ㅡ搴㐷散愵搵㐰愹搹㜱晢㕣攰搴ㅢ㡥愷㐸っ搸㤸っ搴捤慢ㄵ㐴〸ㄶ㝣挶晦㝣㙦摣㕥ち㉣㉦㕣戳ㄸ㑣摣搸摦昱㈴㈱㤱㠲㍤敤㜸㈱㕥㈳㔴㘴㝥慦扤戸敡㕦㐳愴戶改㝡攷慣戵㜰㐷㔰㠵㑣慦㤳㤰挶挸ㅢ昹扣㔱捡㤷〶愵てて攴戹摣㜱晣っㄳ〸慤㜲〵晡换㌳戴㌷敤晡㌸㍥㐳㍢㥤㘳ㅡ㐳攴愸㠵ㅣ捡㤴挲摣愹收挳㙣㜳ㄲ攰晣戹换㜳敤愸摣㙢㠸㔵ㄷ攸摦捦㤰昰挲ㄴ慤㄰〸扤㜳㝢㌴愳㄰㐷扥挱晥〳扤昹搴捤㝣㘵㕢敡㤰昷昶戴戳㘷ㄱ㐳ㅡ戳攷慤㘵搵㐰㈴摡戵愲㍤晡㠱㐶慣㙢㌵挲戸㙣挶㜷㕤㡢㡣㐵愶㕣慣㔹攴摦愹㘶攴㕦㜰㍣搳〶㄰敥㡢㔱搶㜵愰慣敢㠲ㅡ戳㉦㌱㈸㈸㜹昶攵慦㔸㠱ㄳ慤扡㑥慤挴〷〶敥㜶〴㐷㘲㡢㔳敥㈶㈹㤱ㄸㄳ㕤戶晣㘵ㄸ㙣㘱〵挴慥㐰㡡㜲改㐸㝣昰㙤摥㈸攲㥦㌱愰㕢〹攲㐵㝣愴收㝢搱㕢㐱敥㐴㐰攰㐸扡㤱摣扣戸昱っ㌰摡㉢㐷慡㘷戰〸晣㠱㈹ㄱ㑦攷㜶搱扥散㌹ㄱ愸㐷㡡㥤㜵愲搹㄰㈴〷㐰㔶づ户户ち㔵㔳㡤㈶㕢㍡攱㡥摥愲づ㈵㜱㝢㙦㜹㕡㙢摣扤㐹戱搶㈷㈹㌵戲㔵㈵搱㉢㥢㡣㜱㈷㈹ㅡ㐳搴㜶愲㙢㡣㉣愷㘹㝢摤㈹㐳㕥㠳㕡ㄲ㥥挹㤹愷㠴㔱㄰攲㈵㜷㐰㐳搱㕢㥦捤ㅥ愹㔸つ㉤㠰㌲戵㤴挶㡤挷挱挰㌹㕣㌸愹慢㜲晣㠴晤扤㈷捥㕥㙣㐶ㅤ㈵搶昵〳㜱挹㔴愳㜱搱㠳㡤㔰戳㠲晡づ搹搲㤸㥢搶㉦戲㍢〷搵晤㝡㜹㔳ㅢ㌱摥㠶っ㠸㘴㜸㠱戱つ戱戹㔲戱㔴摡㘶攳㕣敡ㄶ扡挴愷ぢ捡昲㠴〲㡢㔱㝤㔶慤㡢ㄱ搶戶攳て㐸㠳搶㔹㔱攴愸㘹㑦㉤㠷㔰攸ㄱ攵㜸㥣㤳つ㙥摡㤷攸㤴挲昵〵㠸摤㌸户㔰㡢㄰搴㙤㜵挰㜳挱捥愱づ㔶㐴〷㑤㘸㥢㔱㠲ㄶ㌳ㄸ户㜳ㄲ摣㍢〳㔲ㄴ㠲搴㤶昴慦搳挶㜷扥捤昴攳搳戹㈴ㄳ㙦㈲〶扡㌲㙣〷㄰㌷ㅤ㤳攴㉥㍡㤰㠴捡戵㘴ㄳ愱㌵㤶攰㘸㘰㡣搳攰ぢ㈲摣摦㘱ㄴ㙢㉦户㑤〳户摢㈲〷摡戴戱戱挷㥥昳㙡㡤㘶㕤㠹㉡㑥㘴戵㘸攴ㅤ㐱㉦戹昸愷㜷㔳挶扡挴㡢㌲㠷㠳ㄴ愷㑣㈲つ㙥㜵㥢敦㐳㜳ㄱ㜲攸㐳换㌶㠶ㅥ㌳㥣㜲ㄲち敢戹愱㐰敢㜰㝦晢敡㠲㕣㥢㠳㐸敢㐱㔱㤶捤攳㈶㕥㉢㝥㉣扢㉤㔵㙤摥㥦昷㘹戱愷㔰攷ㅤ㡤摡ㄱ㌴挲㍣戵挰㉢ㄶ㘱㡣っ戸㍢搸㐹敥㐶ㅣ搷扤昱㡣㍣收㙥㥣㡥㡤て㠳搱㕤㥥㠱㜲㔸㔵㙣㈴㥡摢昹戶捤㙤㌰敥㑢扢摢㝣㍦㠰挱〰㌰つ㕡搴搴〶捥㌴昲㕢ㅢ㌸っ㐵㘶挴㐶搳㘱㔴㐶㈸て挰㕤て愲㘱㌷昱ㄸ扤攴㐳〹㐵〷攵㑡㔸㜲㉢㜱搲挵〱挸てづ㜵㈱ㄷ慣〸ㄷ㕦扣挳㕤攸愹㝡㥤收㉥扣㜳㍢㠲慡戸戴愱捤搱㠳㕤搷戱㘴㑥戴敦敥敡㉡㠸慦〹ㅥ㥦慤㥣户愲摡敡㘲戴愱慦㙣つ捡ㄲ㠵摦挱ㅢ戱改摢㘹㌳て㝢扣㠲扡捥戵㉦㕦昵晣㙢㥥㡣慢㄰昲扥ㅦ慤㔸㜳㘴㠴㠳㉣攷㕥挱㍦㐹昹㕣攱户攸㜱㍢挳㘶〷㙤昷〸晢㤱㔴㌶捦攰㌷慤㥤〹晣捥攰ㄵ搸敦慤㍢〳攴㤵㠳㕤扣㈲挲㘰㤷㔹扣㤵搷㡤㔹㡣摦㠰戴㘴ㄸ㄰㍣戹ㅥ㤲捦ㄹ㉦攰㠱㐴〷つ㐰㌸昳㍣㈱挸昷㜶晣捥㈰㥦〸昴昸㤲〷慦㠴晣晦㔰㉡搹搵㥢㙥慢晦挲愶㌶㝥つ㘲〸㤹㐰㤳搶扥㌴㝥搵㐹愶㐷㘲㌲㌱㈴晢慡㠲摦㥣挱敥戱昳つ扦攰晢㍦㍣㜶㕥〰㠵㤹挴㌲㐳㜸敤㙥攴㕢㠶㐱扥挷㌰戸〷挵㘲ㄸ㍣捡㌶㡣摣㙢挳㈰昶㝣㉣〰戱戵㘱挰㜸㕥㠶昹㤷ち慦愶㥣ㄹ㍣㜷ㅤ㜲改ㄵ㍢㡦㡢戶㉡㐴っㅦ慡㉡㥣㠱ㅦ敡收㕥昴㠲ㄵ㔸敥㘱挱㥦ぢㄴ㔴㔸戰㠴㥢摢搲㠴㉤㙥摤戴㐴ㅡ㙤攲愱㐸㍣敢扢㕥㤴敤摤㔷〷愵㜴搲㉥㝢愳㘴ㄴ㕦㠳㝦挴攰㘹㈱昷昱㠳㍦㍢昷搷愷㍦㜷㥡㌷搴㘲㕥㉤㌰㈴㍣㐸㤸㥥ㄶ〴〲戹愹换㈱㌷昱㐳㥣ぢ昸㈰挹㔹㙢愸㘹㉢㄰摢㈷㌴摤㈴慢ㄹ㉦挵㤸㥡昹㜶㠲㘱㠹扢づ摡戰慣㜴㌹㌹攵㐳㈶㜱っ㔶㔲〳ㄷ㑦㕥ㄲ㉡㌴晡慡慤〱㙤捣挲捦愱㜸㕥攵㐰㍡㙤㐳㥥㌵㤹っ攳㘷㠹㘶搳㠸㕣敥〴捥ㅦ晡〰㘹㑣〲㤷㐸㈹挴ㅣ挸㈱改攳ぢ㉦〱㠸㤴㕡㐴愶㔰〱挸㠸愶㜵㠷㜵改〵搸ㄵ〲慡㜵搱㙦挰㡦㔶戰㡡愰㘲攲㠱ㅦ昴ㅣ换㐳㝦愲㥡ㄸ㥥㤵㤳挸ㄲ㌲㜲㘴㈱㠲昱㕡挱㕥㐶㈶㐹㠵㘳挸㙤摢〹挵㤷㡣扢㍡搸愶㌷㜶挱愵㠷慤散㥥昱㥡戸敤〱㍤㔳ㄴ㠵攱敤㈷ㅡ挷㔰㠹换改慡㘵㡤㈲摣慢戳慤㐶愳㜱ㄱ㜴㤶㜷ㄸ㘷㔱〴晣昸㘵㄰换㈷摢㕤摦搴㕤㐲ㅤ攷㡤㘰㠲晣㠱晤㜵㝢挶挶挶㕢戹㘳㈰㘱户㔵慢愴慦㠳㕦㐱ㄳ㑥㍡㘷㤸敤慣㍣ㅢ㡣㑢㈷㍢㙢愸㔷晦㌳㘲㉤㍢敢㌱戶㘶攸扡㐳晦㝦〸㠸㉤昵扦挱㜸㥢㤰散挳㜱㠶て〵㐶㑤戶っ搴㜰㐵攰捦㐶挸㐶㡥挳愶㘴ㄹ收搶戹㐵㝣愸慡㡢㐵㠲挳摢㌵摣㝤ㅤ愲搵㤶戶敤㘸㕦〱㜸㤲㐳晡ㄱ㐴㔰摦昶ㅣ㜴敦㤹戶昸㔱愰て㕥㜰㙡㠱ㅦ晡㜶㌴戱㠸㐰敦〴扦㌵戳㘱昳㑣ㄹ㍦散ㄶ㙡㜷㘱㈵挶㥥㐰㥢昹㡢㄰搸㡦慡攸昵㠹㍦㌲㥡戰扤攸〵扦㍡摡㤷ち㈹㔱㌷㠴㙦戱㍦搰戴ㅡ昸㔰昵㈲晣㥢ㄱ㔱㍢㐲搵㘹㉦㜳昷㥤っ㉥ㅣ㙥㘵㍤〲ㅦ㤰㙡㔴㄰㄰㤳㈹㝣攴㜱慥㙡昷ㅡ㜴搶㡤攷ㄶ戲收㘰㝥戶㜲攱晢愰攸昶摥搲挹㌰㝣㈷扦㍦搶ㅥ搱昷㈱户㝤㠷㉣㝢㍡〰づ㡦㍦摢愶攳㙢戲〱㜷搹㌶㘲摤㑦愲愹昱㝥〲晣㤸㔶㥣攱㠳㐱慦ㅥ㌷愱昱㍤㑣㠹慣㡦㝣慥㔸〳攸捦捦摦摤㡣㥦つ㝡㜵愴㝦挵ㅥ攲ㅦ㠳捥〲挱㘲㉢戴戱㍣㥢ち㜶㈵㡤攵戱㠴㍣㕣㌶扥㠵㌷㜰㡤㕢㙢㘵挸搱〳㘵愶〳㤰㈴㠳㐷てㄹ晤昳愸摣ㅡ晤㔵㘰晢㡦晥ㅢ㥢㡥㥥㐶㠳㡣㈸摤晦扥㐴改㤸ㅥ㡡㑤㥦㘰㡤攰㘳〰晢ㄲ摤戳㤷攲㤴㌲慡愸〳ㄱ㉦㥣㐶ㅥ改愵昸昷换愷㕦晣㈳搳㍦㑥ㅢ㈲㐰㔱搴㌹ぢち㔰㤹挵㜳改㔹㐴挰昶㥦挵㔷㌷㥢挵㍥捡㔶㡥挴㕣〷ㄸㅦ㌲㥥挴慦摥㔹㔹挰㑡慤敢㔲㙢ㅦ〹㐶て㡤戹㐱昰㌴挱挷〹㍥㐱昰㐹㠲㑦〱㡣攷昷㤱㠶㔲昱ㄹ㈲㥦㈵昸㌴挱㘷〸㍥㑢昰㌹〰㔴㈴㔹愵攲攷㠹晣〲挱ㄷ〹扥㐴昰㘵㠲慦〰愰㘲戲摡〵㉥㜰挶挷㐵㘲慦昱㌲㈶㝢㉤㙡㤷㜰㔱㙢改㤲ㅢ晢㠲㜷㠴戴㡡扤昸㝤㔵㑣㜱挰㝢〶㐶㌳㈱昸昹昳戱㈷㉥㤷㡦㈳㕦㘰㌸ㄱ㈸〶ㄹ㤴ぢ㘹㐴㐹攵㕦晣慡敤㈰㐲〱ㄲ戸㔲㔷㈶㈳㑢攵㌰愹㝣ㅣ㕦㠵㐹ㅤ昴慣搳换㐹㘵㌲扣㔴づ㤲捡㝦㍦㝥戸㔵㌹攱敦㔸慥㤱昹㌲㙣㙦㌹㡤愴扥㄰攷㈱扦㘰㔳㥦㡦摡ㅡ㑤㔹㉥〱散㠶㘸昴㌱㕣㐹〹昰㡤昶㍣敥㔷攱㈲ち挴扥晥㔳つ㜳戸㜷㌵㙢㐵ㄶ㍥挱㕥㐷挸㍢㌰攵㠹㡤㡢昶挵〰㠸ㄱ㝢㉥挴ㄹ慦扥愳㔸〴收挹戰㕥摦㉤㐲〳ㄹ愶㙣㝢㍤㤲㔰㕤㥥㌷㔹〶㔳㘷ㄲ摥ㄹ㌶搶ㄲ捡收㥥㙤昳㡣昹㌵㄰〷ㅥ㈲㐰㘶捡㍡ㄴ㜴㤰て〶愵〷㐹㕤晣㍡挰摥攴㙦㘱㑣慣㡢㡢㈶㙦㌴㤲晥搲㥣㘲㝥㤳つ㥥〷ㄸ㠲㝦搸㠸昹慣愳摦〲愵搰㝢晢㥢扦㍣摤㈶摦收㈳㘶搹昱ㄱ晥ㄹ㝣㔴扦挱㑥㠷昰ㄷ㐵ち㘲慢て攷摦㌳㔸㕦攴愳〲扡㤲㥦㔵㑣收㌵昴挳昵㙢㥢㡤散㔱㌴㥢㐱㔹换改ㅡ㉢攸㥦敦愰ㄵ㕥㌶㈸㝤〵㙤挷攸㐳㠲愶㍣ㄶ戴㡡搱扣挶㔰㌶㈸愱〵㕤㡦搱昷ち㥡㌲㕢搰戵ㄸ㝤㥦愰㈹扡〵扤ㅣ愳昵㐸㥥㑤搰㔶㡣搶㈳愱㜸㤷摡㑦挶㘸㍤㤲捦㈴攸㙡㡣搶㈳愱ち㤰摡㑦挴㘸㍤ㄲ㉡〵㐱㍦ㅥ愳昵㐸愸ㅢ〴晤搱ㄸ慤㐷㐲㙤㈱攸㡦挴㘸㍤ㄲ敡て㐱㝦㌸㐶敢㤱㔰愳〸晡㐳㌱㕡㡦㠴㍡㐶搰ㅦ㡣搱㝡㈴搴㍡㠲㝥㉣㐶换㐸ち㘴昲㙤敦㌶搲㜲㐰㍢散㈷㘸㙡㜰〷昰㠵收㑦昹㈴㈸㍥㌹〰㐹㌲愴〸㑦ㅤ搸搱晦〰㐵㉦户㠷</t>
  </si>
  <si>
    <t>Forest or Grassland?</t>
  </si>
  <si>
    <t>F</t>
  </si>
  <si>
    <t>G</t>
  </si>
  <si>
    <t>728eda3f-d90e-4453-87ab-30192bf46dd6</t>
  </si>
  <si>
    <t>㜸〱敤㕣摤㙦ㅣ㔷ㄵ摦㔹㝢搷㍢㙢㍢〹㐹㥡㌶愵ㅦ㉥㙤愱挵搱㌶㐹ㅢ摡㠰搲搴ㅦ昹㈲㑥㘳㘲㈷攵愳敤㜶扣㝢挷㥥㘶㘷挶捣捣㍡㜱ぢ戴㤴㔲扥挴〳攲ㅢ㈱㈴〴㍣〰ㄲ㠸ㄷ㄰〸晥〳㐰㍣昱㠶〴㉦扣㠰㔰㈴㕥㤰㜸㈸扦摦戹㌳扢戳扢摥戱扢㙤挱㐵扥㠹㡦敦㥣晢㌱昷摥㜳敥㌹攷㥥㜳挷㌹㈳㤷换扤㡡挴摦㑣挳捣摣戶戰ㅥ㐶捡慤捣昸㡤㠶慡㐵㡥敦㠵㤵愹㈰戰搶攷㥣㌰ㅡ㐲㠵㘲搵㐱㜹㔸愸㠶捥㜳慡㔴㕤㔳㐱㠸㑡㠵㕣慥㔴㌲昳㈸㘷㈷晣搹㤳㍣㤸㙣㌵㌶っ㜰㘹㘶晡攲搲戳攸㜵㈱昲〳㜵㘸攲㡡㙥㝢攲攱捡㠳㤵攳敦㌹㕣㌹㝣㘸㘲愶搹㠸㥡㠱㍡攱愹㘶ㄴ㔸㡤㐳ㄳ昳捤愵㠶㔳㍢慦搶ㄷ晤慢捡㍢愱㤶づ㍦戸㘴㍤昴挸㤱㠷㡥ㅤ戳㡦ㅦ㝦㘴っ㉦捥捤捤㑣捦〷捡づ摦㤰ㅥぢㅣ敥㐳戳慡收㜰㕥㑡〵㡥户㕣㤹㤹挶晦搴搸昱昴㜰㘵㘱㐵愹㠸㉦㔶㠱昲㙡㉡㌴搱㜰搴㥤ち挳愶扢捡㠵㌳摤搳㤸㘶捤ち愳㠲㍢愳ㅡつ搳㑤㝡㉤戹ㄷ戱㙥つ㙢㝤捣㕤㔰㕥攸㐴捥㥡ㄳ慤ㄷ摤㐵㜴㔴ㅦ㜷㉦㠷敡㤲攵㉤慢挷㉤㔷ㄵ摣㌳㑤愷㍥慣㔳㙥攸㕤㐹ㄷ改㠱挹攴㉢㔳愱㍢戳㘲〵㌲愲㤰换㤲㔱昷㜴㔰敢慣㝢㜷晦㝥㌹㜴㜹〳晢扣户㝦㍤㤴㕣戱㠲㔶捤挹晥㌵攳挹㜷㡥攰㠱晥昵㔳㙢搴搹收晥晥㙤㘴㈹㍢㙢ㅢ愳㌱㙦换㡡㘲㌲㘶㤱㘰㠴愰㐴㐰〲㥡㘵㠲㔱㠲㌱〰㘳昸㥦搸㈱改㠶㉣捡㔷慤㝣㜵㈹㕦慤攵慢昵㝣㔵攵慢㜶扥扡㥣慦慥攴慢㑥扥晡㙣扥㝡ㄵ㜵㤲㔴ㅡㄹ挹挷愹昲㔷攷愵ㄳ晦㝥搷昹敦摦昶昲㉢晦㝥晦搷晦㌵戶ぢ㤵㍥㄰て㙡㌶戰慥㠱搵摡㍣㝣戴㠲ㅤ戱㤵㍤㠱㉤㘱ㅦ戳ㅦ戶㡦ㅣ愹ㅦ㍢㙣㍤㘸ㄵ㌸慤っ攲㜷㌰捡ㅥ搴ㅤ戳㥦㜰扣扡㝦㑤㘸㜷摢戴ㄵ慡昶挲㑤挶㘵搳㝥搳慢㠷㙦摦戸㜰㈱戲㈲㜵㙢㜷㔹扢㤳㥥㘶ぢ搸㔶㉡㤴昷摤搱摤散㡡搵㘸慡愹敢㡥㉥扥扤慢搸㥤て晣愵晥愵愷〳昵搱㔶㘹捦㠸愶㈰搰搶愴敦㥥㔹敡㈲㍤慥㠹㤹ㄵ㍦㔴㥥っ㙦搲㥤㜷㙡㔷㔵戰愰㈸づ㔵㕤愶㝡ㄳ㡢攲㕤㍦㜹搱挳㐴戱㕢敢敦㐸㘳敤㔳搷㈳㙣㘶㔵挷㜸㔷㔵㄰慤㉦㕡㑢つ㜵愰愳㡡㝥㈷ちづ㜶愰㑦晢戵㘶㌸攳㝢㔱攰㌷㍡㑢愶敡㙢ㄶ㈴㑤晤㠲㕦㔷挳挳㌹ㄱち㄰戶㐳㐳㠶㤱㝢㜷晦扤㈰㠴㐸㤱㤸ㅢ昹㤶㑥戶慢㕣挲散㌰㡢㠶㈲㑦收敦搹愴㌳㡥㔷㘴㑣挶づ㑣捤㠹扡㠳㉦扤㙦㤳㙥㕢㤴㝢㜳㉢攷昳晢攲搹㥦㕡㔳㕥㜴搶昲敡つㄵ㘴㙡㍥㠳㈳㌲㜷〳ㄴ㙥㐰㈰昴㕤㍤慡㌹攳扡戱㕥戸收搴愳㤵攲㡡㜲㤶㔷㈲攰愰ㅤ㑢㈵㉥㙤㑦㌲摦〶㤴戹㤷㘰ㅦ㐰戹㥣㉢敥㘷愵㘲ㄹ㈹㔷愰㜴捡搸换ㅤ㠲㥣敤㍡昶昲㤸㝤摡㘹㐴㑡ぢ攵摤㌶㈸愲戵㥡㤰㙦㥣㉣ㅡ㔸㌵慤㌰昶摢㌳攰㔲换昱愲昵昶扥敤搹㈵㥡㠹㜶㘴挱戶㤳〵ㄴ〵㥤昲㈰㘳慦㠱㘹扡愴㐱㜶攵ㄴㄳ㜱ㅢ㘴㘸㜶昴摣挹㘴慣㥦㈱㈳㔰㍦捤㠴慣㝤戸扦㡣㈰戳昷㌲㈹ㅢ昵摤㡦㍢搲㙣㈳㍢㕥㑢戳㥢戰㜰收〱㠲㥢〹㙥㈱㌸〸㘰晣ㄵㄲ㡥㔲づ昹捥㘴扥ㅤ捦收㙤〴户〳㐰㍥㤹㤴㌹戱愸愲つ戵ㄵ㍢㤲昵挶㘱㈷㡢㔱慣㐵ㄱ㉤攳㤶㥤㌹敥ち愱㘳慢㜳㝢攸摡㘱搱戱敦散捦㥢改改㤰㈳㌳慡愶攷扡㐹搵昴㐲戰敡㠰㝡敢㑥㌴㌵㈷〸敥〲搰㡡㠵挶敥搶慣㜹㥡㤳㙦〹㤳㐸ㅢ㐲〳㉡昷㤸㠹㘹晥㘷〸戸㥥愳换㡥晤㑣㔳㜰搲㝥换摢捦㠷晡敦敤㤸攸㕤㍡㜳㐷攷搰㑦昴ㅡ㉤攸㜷㘰㝢ㄹ㝦敡慢㕦敥㐱戱㜹㉦挱㍢〱扡昴ぢ㑦摥慦搵㑢㈰㈶戱㥢愲摣㕥㝡㕣挴挲㕤㕣㕦㔵愲㝤挶散㐵㉢㔸㔶ㄱ扣ㄷ攷㘶㘱〷晢㐱愰ㅡ㌸搰搶〵挱戳换捤㥤挸昰㜴攰扢挴敦搸挷攱㕢㐲㌱って攷㠷㜲㕤昶㜱㠶㥤㤹昲㌷愵㌸㠷晡昷挱晥㐲㈲搵愸㤳扤搸㉥晢㙣戹㈳㐹〶㤰㈴昷㘱㔹捤晢〱㈰㈵㡣㍦昶㤵㈸㤳慣㜶㐸慡㜵㕡慢昴敥㘵㥣㑣扡晣㠷㍤㜲㘴㔴㍢㙢愷攱㍢〸挷摤〵挷㙤〹㡢㔱㜷㕥〵㌵昸ㄵ㥣㠶㉡㙢㤷㉣㐵捤㡥慣㜸㡢挸㡡愱愱㥥戳㜴㠶㙦㑤昸愴㑢㑡㘴敥昶捣挲㡣㜳㜸㥢愹攸㠲愴㔰挹㜰ぢ戵㈴㄰㌹㡦㜵㜷㐴捣〰㈲愶㠲㠵㌳ㅦ㈰㌸㑣㜰〴愰昰㝢㐸㥡慤㉥㍣挳㘰㈳㙢㜴㘷㔷慢戹ㄲ挹㈰敥挱摦昵ㄵ㔶て昱㌵挷〸摥〳搰㘵晥搰昹㤸挱㠸㐲昲ㄴ㈳搲㕡㌲敤㉢㡥扡㐶ㅥ搸㘵㈳愸㌴搳っ㈳摦㘵㔴㘹摣㥥昵ㅦ昷愳㔹㈷㕣㐵ㄴ㙡㥦ㅤ㘷㥥㔸㔱ㅥ戸㉢㠰敤搳㠵昳㔷㔷㔵摤戴ㄷ晣㈶㐴摢戹搹敤㜰㈸挷晣㘰㑢捡戹㍣㙦㈰つ㜶㌶㐶ㄷ㠶㥣㠸攱㙢愵㈷㜶㑢㥥㙦ㅥ晡㜶户㔷㜴搱㠹ㅡ㙡搴搶㥢㡥昹㤲㡤㔵㐴搴愰㍥㘲㉦慥〴㑡捤㡥摢㘷〲愷摥㜰㍣㐵㘲挰挶㘴愰㙥㑥㉤㈳㐲㌰敦㌳晥攷㝢攳昶㘲㘰㜹攱慡挵㘰攲晡摥㡥㈷〹㠹ㄴ散㘹挷ぢ昱ㅡ愱㈲昳扢敤㠵ㄵ晦ㅡ㈲戵㑤搷㍢㘳慤㠶摢㠲㉡㘴㝡㥤㠴㌴㐶摥挸攷㡤㔲扥㌴㈸㝤㜸㈰捦攵㡥攲㘷㤸㐰㘸㤵㉢搰㕦㥥愱扤㘹搷挷昱ㄹ摡改ㅣ搳ㄸ㈲㐷㉤攴㔰愶ㄴ收㑥㌵ㅦ㘱㥢攳〰㘷捦㕣㍥搷㡥捡扤㡥㔸㜵㠱晥晤っ〹㉦㑣搱ち㠱搰㍢户㑢㌳ち㜱攴ㅢ散㍦搰㥢㑦摤捣㔷戶愵づ㜹㙦㔷㍢㝢ㅡ㌱愴㌱㝢捥㕡㔲つ㐴愲㕤㉢摡愵ㅦ㘸挴扡㔶㈳㡣换㘶㝣搷戵挸㔸㘴捡㠵㥡㐵晥㥤㙡㐶晥〵挷㌳㙤〰攱扥ㄸ㘵㕤〷捡扡㉥愸㌱晢ㄲ㠳㠲㤲㘷㕦晥戲ㄵ㌸搱㡡敢搴㑡㝣㘰攰㙥㕢㜰㈴戶㌸攵㙥㤲ㄲ㠹㌱搱㘵换㕦㠶挱ㄶ㔶㐰散ち愴㈸㤷㡥挴〷摦收㡤㈲晥ㄹ〳扡㤵㈰㕥挴㐷㙡扥て扤ㄵ攴㑥〴〴㡥愴ㅢ挹捤㡢ㅢ㉦〰愳扤㜲愴㝡〶㡢挰ㅦ㤸ㄲ昱㜴㙥ㄷ敤换㥥ㄳ㠱㝡愴搸㘹㈷㥡つ㐱㜲〰㘴攵㜰㝢慢㔰㌵搵㘸戲愵ㄳ敥散㉤敡㔰ㄲ㜷昴㤶愷戵挶㍤ㅢㄴ㙢㝤㤲㔲㈳㥢㔵ㄲ扤戲挱ㄸ户㤳愲㌱㐴㙤㈷扡挶挸㜲㥡戶搷㥤㌲攴㜵愸㈵攱㤹㥣㜹㐲ㄸ〵㈱㕥㜲〷㌴ㄴ扤昵搹散㤱㡡搵搰〲㈸㔳㑢㘹摣㜸ㅣっ㍣㠷ぢ㈷㜵㔵㡥㥦戰扦㜷挵搹㡢捤愸愳挴扡扥㉦㉥㤹㙡㌴㉥㝡戰ㄱ㙡㔶㔰摦㈶㕢ㅡ㜳搳晡㐵㜶攷愰扡㕦㉦㙦㙡㈳挶摢㤰〱㤱っ㉦㌰戶㈱㌶㔷㉡㤶㑡摢㙣㥣㑢摤㐲㤷昸㜴㐱㔹㥥㔰㘰㈱慡捦慡㌵㌱挲摡㜶晣㍥㘹搰㍡㉢㡡ㅣ㌵敤愹愵㄰ち㍤愲ㅣ㡦㜳戲挱㑤晢ㄲ㥤㔲戸扥〰戱ㅢ攷收㙢ㄱ㠲扡慤づ㜸㉥搸㍥搴挱㡡攸愰〹㙤㌳㑡搰㘲〶攳㜶㑥㠲㝢㘷㐰㡡㐲㤰摡㤲晥㜱搲昸搶㌷㤹㝥㜸㌲㤷㘴攲㑤挴㐰㔷㠶敤〰攲愶㘳㤲摣㐵晢㤲㔰戹㤶㙣㈲戴挶ㄲㅣつ㡣㜱ㅡ㝣㐱㠴晢㍢㡣㘲敤收戶㘹攰㜶㕢攴㐰㥢㌶搶㜷搹攷扣㕡愳㔹㔷愲㡡ㄳ㔹㉤ㅡ㜹㕢搰㑢㉥晥改摤㤴戱㉥昱愲㥣挳㐱㡡㔳㈶㤱〶户扡捤㐷搱㕣㠴ㅣ晡搰戲㡤愱挷っ愷㥣㠴挲㝡㙥㈸搰㍡摣摢扥扡㈰搷收㈰搲㝡㔰㤴㘵㜳戸㠹搷㡡ㅦ换㙥㑢㔵㥢昳攷㝣㕡散㈹搴㔹㐷愳戶〵㡤㌰㑦㉤昰㡡㐵ㄸ㈳〳敥づ㜶㤲扢ㄱ挷㜵㙦扣㈰㡦戹ㅢ㈷㘳攳挳㘰㜴㤷㘷愰ㅣ㔶ㄵㅢ㠹收㜶扥㙤㜳ㅢ㡣晢搲敥㌶ㅦ〳㌰ㄸ〰愶㐱㡢㥡摡挰㤹㐶㝥㜳〳㠷愱挸㡣搸㘸㍡㡣捡〸攵㍥戸敢㐱㌴散㈶ㅥ愳ㄷ㝤㈸愱㘸扦㕣〹㑢㙥㈵㑥扡㌸〰昹挱㠱㉥攴扣ㄵ攱攲㡢㜷戰ぢ㍤㔵慦搳摣㠵㜷㙥㕢㔰ㄵ㤷㌶戴㌹扡扦敢㍡㤶捣㠹昶摤摤㕤〵昱㌵挱愳戳㤵戳㔶㔴㕢㔹㠸搶昵㤵慤㐱㔹愲昰ㅢ㜸㈳㌶㝣㍢㙤收㘱㡦㔷㔰搷戸昶攵慢㥥㝦捤㤳㜱ㄵ㐲摥昷愳ㄵ㙢㡥㡣㜰㤰攵摣慢昸㈷㈹㥦㉢晣ㅡ㍤㙥㘵搸散愰敤ㅥ㘱㍦㤲捡收㈹晣愶戵㌳㠱摦ㄹ扣〲晢扤㜵㘷㠰扣戲扦㡢㔷㐴ㄸ散㌰㡢户晣㠶㌱㡢昱㉢㤰㤶っ〳㠲㈷搷㐳昲㌹攳㤷㜸㈰搱㐱〳㄰捥㍣㑢〸昲摤㠵摦ㄹ攴ㄳ㠱ㅥ㕦昲攰㤵㤰晦ㅦ㑡㈵扢㝡挳㙤昵㕦搸搴挶㉦㐰っ㈱ㄳ㘸搲摡㤷挶捦㍢挹㜴㍥㈶ㄳ㐳戲慦㈹昸捤ㄹ散ㅣ㍢摦昴ぢ扥晦挳㘳攷〵㔰㤸㐹㉣㌳㠴搷敥㐱扥㘵ㄸ攴㝢っ㠳㝢㔱㉣㠶挱攳㙣挳挸扤㌶っ㘲捦挷㍣㄰㥢ㅢ〶㡣攷㘵㤸㝦愹昰㙡捡㤹挱㜳搷〱㤷㕥戱戳戸㘸慢㐲挴昰愱慡挲ㄹ昸愱㙥敥㐵捦㕢㠱攵ㅥㄴ晣㤹㐰㐱㠵〵㡢戸戹㉤㑤搸攲搶つ㑢愴搱〶ㅥ㡡挴戳扥攳㐵搹摡㝤㜵㔰㑡㈷敤戲㌷㑡㐶昱㜵昸㐷っ㥥ㄶ㜲捦敦晦挹㤹扦㍣昷昲㐹摥㔰㡢㜹戵挰㤰昰㈰㘱㝡㕡㄰〸攴愶㉥㠷摣挴て㜱㉥攰㠳㈴㘷戵愱愶慤㐰㙣㥦搰㜴㤳慣㘶扣ㄴ㘳㙡收摢づ㠶㈵敥㍡㘸挳戲搲攵攴㤴て㤹挴㌱㔸㐹つ㕣㍣㜹㐹愸搰攸慢戶〶戴㌱ぢ㍦㠵攲㜹㡤〳改戴つ㜹搶㘴㌲㡣㥦㈴㥡㑤㈳㜲戹㘳㌸㝦攸〳愴㌱〹㕣㈲愵㄰㜳㈰㠷愴㡦㉦扣〴㈰㔲㙡〱㤹㐲〵㈰㈳㥡搶ㅤ搶愵ㄷ㘰㐷〸愸搶㐵扦〱㍦㕡挱㉡㠲㡡㠹〷㝥搰㜳㉣て晤㠹㙡㘲㜸㔶㑥㈲㡢挸挸㤱㠵〸挶㙢〵㝢ㄹ㤹㈴ㄵ㡥㈰户㘵㈷ㄴ㕦㌲敥敡㘰㥢摥搸〵㤷ㅥ戶戲㝢捡㙢攲戶〷昴㑣㔱ㄴ㠶户㤷㘸ㅣ㐳㈵㉥愷慢㤶㌵㡡㜰户捥戶ㅡ㡤挶㐵搰㔹摥㐱㥣㐵ㄱ昰攳㤷㐱㉣㥦㙣㜷㝤㔳㜷〹㜵㥣㌷㠲〹昲〷昶搷ㅤㄹㅢㅢ㙦攵㡥㠱㠴摤㔲慤㤲扥づ㝥〵㑤㌸改㥣㘱戶戳昲㙣㌰㉥㥤散慣愱㕥晤捦㠸戵散慣㈷搸㥡愱敢づ晤晦㈱㈰㌶搵晦〶攳㙤㐲戲て挷ㄹ㍥ㄴㄸ㌵搹㌴㔰挳ㄵ㠱㍦ㅢ㈱ㅢ㌹づ㥢㤲㘵㤸㕢攷ㄶ昰愱慡㉥ㄶ〹づ㙦搷㜰昷㜵㠸㔶㕢摡戶愳㝤〵攰㜱づ改〷㄰㐱㝤摢㜳搰扤㘷摡攲㤳㐰敦扦攰搴〲㍦昴敤㘸㘲〱㠱摥〹㝥㙢㘶挳收㤹㌲扥搷㉤搴敥挶㑡㡣㍤㡤㌶㜳ㄷ㈱戰ㅦ㔷搱ㅢㄳ㝦㘴㌴㘱㙢搱ぢ㝥㜵戴㈷ㄵ㔲愲㙥〸摦㘶㝦愰㘹㌵昰愱敡㐵昸㌷㈳愲戶㠵慡搳㕥收敥㍢ㄹ㕣㌸摣捡㍡てㅦ㤰㙡㔴㄰㄰㤳㈹㝣攴㈹慥㙡昷ㅡ㜴搶㡤攷ㄶ戲收㘰㝥戶㜲攱扢愰攸搶摥搲挹㌰㝣㈷扦㍦搶ㅥ搱㐷㤱摢扡㐳㤶㍤敤〳㠷挷㥦㙤搳昱㌵搹㠰扢㙣ぢ戱敥㘷搰搴㜸㡣〰㍦愶ㄵ㘷昸㘰搰慢挷㑤㘸㝣〷㔳㈲敢㈳㥦㉢搶〰晡昳昳户㌷攲㘷㠳㕥ㅤ改㕦戱㠷昸挷愰戳㐰戰搸ち㙤㉣捦愶㠲㕤㑥㘳㜹㉣㈱て㤷㡤㙦攰つ㕣攳搶㕡ㄹ㜲昴㐰㤹改〰㈴挹攰搱㐳㐶晦㌵㔴㙥㡤晥㉡戰晤㐷晦㤵つ㐷㑦愳㐱㐶㤴敥㝦㑦愲㜴㑣て挵愶㑦戰㑡昰㔱㠰㍤㠹敥搹㑤㜱㑡ㄹ㔵搴㠱㠸㕦㥥㐴ㅥ改て昱敦㍦㥦晣摤㙦㤹晥㝥搲㄰〱㡡愲捥㔹㔰㠰捡㉣扥㤸㥥㐵〴㙣晦㔹㝣㘱愳㔹散愱㙣攵㐸捣㌵㠰昱㈱攳ㄹ晣敡㥤㤵〵慣搴扡㉥戵昶㤰㘰昴搰㤸敢〴捦ㄱ㍣㑦昰㌱㠲㡦ㄳ㝣〲㘰㍣扦㠷㌴㤴㡡㉦㄰昹㈲挱㈷〹㕥㈲昸ㄴ挱换〰愸㐸戲㑡挵㑦ㄳ昹ち挱㘷〸㍥㑢昰㌹㠲捦〳愰㘲戲摡〵㉥㜰挶挷㐵㘲慦昱㌲㈶㝢㉤㙡㤷㜰㔱㙢改㤲ㅢ晢㠲户㠵戴㡡扤昸㝤㔵㑣㜱挰㝢〶㐶㌳㈱昸搹戳戱㈷㉥㤷㡦㈳㕦㘰㌸ㄱ㈸〶ㄹ㤴ぢ㘹㐴㐹攵㥦晤扣敤㈰㐲〱ㄲ戸㔲㔷㈶㈳㑢攵㌰愹㝣ㄴ㕦㠵㐹ㅤ昴慣搳㥦㤳捡㘴㜸愹ㅣ㈴㤵晦㜶昴㘰慢㜲挲摦戱㕣㈳昳㘵搸摥㜲ㅡ㐹㝤㈱捥㐳㝥挱愶㍥ㅦ戵㌵㥡戲㕣〲搸つ搱攸㘳戸㤲ㄲ攰ㅢ敤㌹摣慦挲㐵ㄴ㠸㝤晤愷ㅡ捥攱摥搵慣ㄵ㔹昸〴㝢つ㈱敦挰㤴㈷㌶㉥摡ㄷ〳㈰㐶散㜳㈱捥㜸昵㙤挵㈲㌰㑦㠶昵晡㙥ㄲㅡ挸㌰㘵摢敢㤱㠴敡昲扣挹㌲㤸㍡㤳昰捥戰戱㥡㔰㌶昷㘲㥢㘷捣㉦㠱㌸昰㄰〱㌲㔳搶愱愰晤㝣㌰㈸㍤㐸敡攲㤷〱㜶㈷㝦ぢ㘳㘲㑤㕣㌴㜹愳㤱昴㤷收ㄴ昳慢㙣昰㌵㠰㈱昸㠷㡤㤸捦㍡晡㉤㔰ち扤慦扦昹换搳㙤昲㙤㍥㘲㤶ㅤㅦ攱㥦挲㐷昵敢散㜴〸㝦㔱愴㈰戶晡㜰晥扤㠳昵㐵㍥㉡愰㉢昹㔹挱㘴㕥㐷㍦㕣扦戶搹挸ㅥ㐵戳ㄹ㤴戵㥣慥戱㡣晥昹づ㕡攱㘵㠳搲㔷搰㜶㡣㍥㈰㘸捡㘳㐱慢ㄸ捤㙢っ㘵㠳ㄲ㕡搰昵ㄸ㝤㥦愰㈹戳〵㕤㡢搱昷ぢ㥡愲㕢搰㑢㌱㕡㡦攴挵〴㙤挵㘸㍤ㄲ㡡㜷愹晤㑣㡣搶㈳㜹㈹㐱㔷㘳戴ㅥ〹㔵㠰搴㝥㍡㐶敢㤱㔰㈹〸晡愹ㄸ慤㐷㐲摤㈰攸㈷㘳戴ㅥ〹戵㠵愰㍦ㄲ愳昵㐸愸㍦〴晤攱ㄸ慤㐷㐲㡤㈲攸て挵㘸㍤ㄲ敡ㄸ㐱㝦㌰㐶敢㤱㔰敢〸晡㠹ㄸ㉤㈳㈹㤰挹户扣摢㐸换〱敤戰ㅦ愱愹挱ㅤ挰ㄷ㥡㍦收㤳愰昸攴〰㈴挹㤰㈲㍣㜵㘰㐷晦〳换昹户㤸</t>
  </si>
  <si>
    <t>MJ/L</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</si>
  <si>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</si>
  <si>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</si>
  <si>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</si>
  <si>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</si>
  <si>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</si>
  <si>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</si>
  <si>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</si>
  <si>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</si>
  <si>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</si>
  <si>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</si>
  <si>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</si>
  <si>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</si>
  <si>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c8418c3b-2de2-49fe-8c9e-a525849b0b6c</t>
  </si>
  <si>
    <t>CB_Block_0</t>
  </si>
  <si>
    <t>Decisioneering:7.0.0.0</t>
  </si>
  <si>
    <t>a243f86c-a358-479d-a0d9-4000bfe7a0d9</t>
  </si>
  <si>
    <t>CB_Block_7.0.0.0:1</t>
  </si>
  <si>
    <t>Units</t>
  </si>
  <si>
    <t>BTU/MJ</t>
  </si>
  <si>
    <t>lb/bu corn</t>
  </si>
  <si>
    <t>kg/bu corn</t>
  </si>
  <si>
    <t>lbs/kg</t>
  </si>
  <si>
    <t>acres/ha</t>
  </si>
  <si>
    <t>seeds/kg</t>
  </si>
  <si>
    <t>L/gal</t>
  </si>
  <si>
    <t>MJ/kWh</t>
  </si>
  <si>
    <t>kg/ton</t>
  </si>
  <si>
    <t>Conversion factors</t>
  </si>
  <si>
    <t>Canada</t>
  </si>
  <si>
    <t>Africa</t>
  </si>
  <si>
    <t>Europe</t>
  </si>
  <si>
    <t>Soviet Union</t>
  </si>
  <si>
    <t>Latin America</t>
  </si>
  <si>
    <t>Developed Pacific</t>
  </si>
  <si>
    <t>Southeast Asia</t>
  </si>
  <si>
    <t>United States</t>
  </si>
  <si>
    <t>Rest of World</t>
  </si>
  <si>
    <t>Total</t>
  </si>
  <si>
    <t>Clearing by Ecosystem</t>
  </si>
  <si>
    <t>Pacific Developed</t>
  </si>
  <si>
    <t>Woodland</t>
  </si>
  <si>
    <t>Chaparral</t>
  </si>
  <si>
    <t>Grassland</t>
  </si>
  <si>
    <t>India, China, Pakistan</t>
  </si>
  <si>
    <t>World</t>
  </si>
  <si>
    <t>Total C in Soil</t>
  </si>
  <si>
    <t xml:space="preserve">C in Vegetation </t>
  </si>
  <si>
    <t xml:space="preserve">Vegetation C + Portion of soil C </t>
  </si>
  <si>
    <t xml:space="preserve">Total foregone carbon </t>
  </si>
  <si>
    <t>Percent Lost Soil C</t>
  </si>
  <si>
    <t>Desert</t>
  </si>
  <si>
    <t>Lost Soil C</t>
  </si>
  <si>
    <t>ddafe336-9b6c-4329-aeb9-e8b286bec306</t>
  </si>
  <si>
    <t>CB_Block_7.0.0.0:2</t>
  </si>
  <si>
    <t>4777f989-9c98-4289-9792-23b1781d1897</t>
  </si>
  <si>
    <t>Decisioneering:7.3.0.0</t>
  </si>
  <si>
    <t>CB_Block_7.3.0.0:1</t>
  </si>
  <si>
    <t>Tundra</t>
  </si>
  <si>
    <t>-</t>
  </si>
  <si>
    <t>Data from Searchinger, et al. Supplementary Online Materials, Tables D1 - D11</t>
  </si>
  <si>
    <t xml:space="preserve"> N years of uptake existing forests    </t>
  </si>
  <si>
    <t>Total or wgt avg</t>
  </si>
  <si>
    <t>Reported in paper</t>
  </si>
  <si>
    <t>Gross uptake by regrowing forests</t>
  </si>
  <si>
    <t>Uptake / Forest Area</t>
  </si>
  <si>
    <t>Regrowing Forest Area</t>
  </si>
  <si>
    <t>Mg C/y</t>
  </si>
  <si>
    <t>Mg C/ha/y</t>
  </si>
  <si>
    <t>Mill. Ha</t>
  </si>
  <si>
    <t>M ha / yr</t>
  </si>
  <si>
    <t>%</t>
  </si>
  <si>
    <t>Forest area</t>
  </si>
  <si>
    <t>Uptake / Regrowing forest area</t>
  </si>
  <si>
    <t>Constants</t>
  </si>
  <si>
    <r>
      <t>CO</t>
    </r>
    <r>
      <rPr>
        <vertAlign val="subscript"/>
        <sz val="10"/>
        <color indexed="8"/>
        <rFont val="Arial"/>
        <family val="2"/>
      </rPr>
      <t>2</t>
    </r>
    <r>
      <rPr>
        <sz val="10"/>
        <color indexed="8"/>
        <rFont val="Arial"/>
        <family val="2"/>
      </rPr>
      <t>e/C</t>
    </r>
  </si>
  <si>
    <t>EthanolLHV</t>
  </si>
  <si>
    <t xml:space="preserve"> N years of uptake regrowing forests    </t>
  </si>
  <si>
    <t>South and SE Asia</t>
  </si>
  <si>
    <t>N Africa / Middle East</t>
  </si>
  <si>
    <t>Former Soviet Union</t>
  </si>
  <si>
    <t>e4c65a23-6c25-455b-bca4-7e18a88597f2</t>
  </si>
  <si>
    <t>Btu/gal</t>
  </si>
  <si>
    <t>Name</t>
  </si>
  <si>
    <t>Value</t>
  </si>
  <si>
    <t>AcrePerHa</t>
  </si>
  <si>
    <t>LiterPerGal</t>
  </si>
  <si>
    <t>CO2PerC</t>
  </si>
  <si>
    <t>Anhydrous ethanol (GREET 1.8b)</t>
  </si>
  <si>
    <t>Anhydrous ethanol</t>
  </si>
  <si>
    <t>Denatured ethanol</t>
  </si>
  <si>
    <t>Broadleaf Forest</t>
  </si>
  <si>
    <t>Mixed Forest</t>
  </si>
  <si>
    <t>Coniferous Mountain</t>
  </si>
  <si>
    <t>Coniferous Pacific</t>
  </si>
  <si>
    <t>Open Forest</t>
  </si>
  <si>
    <t>Mg C / ha</t>
  </si>
  <si>
    <t>BtuPerMJ</t>
  </si>
  <si>
    <t>DenaturantLHV</t>
  </si>
  <si>
    <t>Denaturant (natural gasoline, or petroleum naphtha as a proxy in GREET)</t>
  </si>
  <si>
    <t>DenaturantVolume</t>
  </si>
  <si>
    <t>Between 2-5% depending on price</t>
  </si>
  <si>
    <t>Denaturant</t>
  </si>
  <si>
    <t>DenaturedEthanolLHV</t>
  </si>
  <si>
    <t>Assumed duration (y)</t>
  </si>
  <si>
    <t>Existing forest uptake duration (y)</t>
  </si>
  <si>
    <t>Regrowing forest updake dur. (y)</t>
  </si>
  <si>
    <t>Charcoal</t>
  </si>
  <si>
    <t>Forest Products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</si>
</sst>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_)"/>
    <numFmt numFmtId="167" formatCode="0.0%"/>
    <numFmt numFmtId="168" formatCode="#,##0.0"/>
  </numFmts>
  <fonts count="30">
    <font>
      <sz val="11"/>
      <color indexed="8"/>
      <name val="Calibri"/>
      <family val="2"/>
    </font>
    <font>
      <sz val="10"/>
      <color indexed="8"/>
      <name val="Calibri"/>
      <family val="2"/>
    </font>
    <font>
      <b/>
      <sz val="11"/>
      <color indexed="8"/>
      <name val="Calibri"/>
      <family val="2"/>
    </font>
    <font>
      <sz val="10"/>
      <name val="Verdana"/>
      <family val="2"/>
    </font>
    <font>
      <sz val="10"/>
      <name val="Arial"/>
      <family val="2"/>
    </font>
    <font>
      <sz val="10"/>
      <color indexed="8"/>
      <name val="Arial"/>
      <family val="2"/>
    </font>
    <font>
      <b/>
      <sz val="10"/>
      <color indexed="8"/>
      <name val="Arial"/>
      <family val="2"/>
    </font>
    <font>
      <vertAlign val="subscript"/>
      <sz val="10"/>
      <color indexed="8"/>
      <name val="Arial"/>
      <family val="2"/>
    </font>
    <font>
      <i/>
      <sz val="10"/>
      <color indexed="8"/>
      <name val="Arial"/>
      <family val="2"/>
    </font>
    <font>
      <sz val="10"/>
      <name val="Tahoma"/>
      <family val="2"/>
    </font>
    <font>
      <b/>
      <sz val="10"/>
      <color indexed="8"/>
      <name val="Calibri"/>
      <family val="2"/>
    </font>
    <font>
      <i/>
      <sz val="10"/>
      <color indexed="8"/>
      <name val="Calibri"/>
      <family val="2"/>
    </font>
    <font>
      <b/>
      <sz val="14"/>
      <color indexed="8"/>
      <name val="Calibri"/>
      <family val="2"/>
    </font>
    <font>
      <b/>
      <i/>
      <sz val="10"/>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8"/>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right style="thin"/>
      <top/>
      <bottom/>
    </border>
    <border>
      <left style="thin"/>
      <right style="thin"/>
      <top/>
      <bottom/>
    </border>
    <border>
      <left style="thin"/>
      <right/>
      <top/>
      <bottom/>
    </border>
    <border>
      <left style="thin"/>
      <right/>
      <top/>
      <bottom style="thin"/>
    </border>
    <border>
      <left/>
      <right style="thin"/>
      <top/>
      <bottom style="thin"/>
    </border>
    <border>
      <left style="thin"/>
      <right style="thin"/>
      <top style="thin"/>
      <bottom/>
    </border>
    <border>
      <left style="thin"/>
      <right style="thin"/>
      <top/>
      <bottom style="thin"/>
    </border>
    <border>
      <left/>
      <right/>
      <top/>
      <bottom style="thin"/>
    </border>
    <border>
      <left style="thin"/>
      <right style="thin"/>
      <top style="thin"/>
      <bottom style="thin"/>
    </border>
    <border>
      <left/>
      <right style="thin"/>
      <top style="thin"/>
      <bottom/>
    </border>
    <border>
      <left style="thin"/>
      <right/>
      <top style="thin"/>
      <bottom/>
    </border>
    <border>
      <left/>
      <right/>
      <top style="thin"/>
      <bottom/>
    </border>
    <border>
      <left style="thin"/>
      <right/>
      <top style="thin"/>
      <bottom style="thin"/>
    </border>
    <border>
      <left/>
      <right/>
      <top style="thin"/>
      <bottom style="thin"/>
    </border>
    <border>
      <left/>
      <right style="thin"/>
      <top style="thin"/>
      <bottom style="thin"/>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6" fillId="2" borderId="1" applyNumberFormat="0" applyAlignment="0" applyProtection="0"/>
    <xf numFmtId="0" fontId="16" fillId="2" borderId="1" applyNumberFormat="0" applyAlignment="0" applyProtection="0"/>
    <xf numFmtId="0" fontId="17"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16" borderId="0" applyNumberFormat="0" applyBorder="0" applyAlignment="0" applyProtection="0"/>
    <xf numFmtId="0" fontId="20" fillId="0" borderId="3"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3" borderId="1" applyNumberFormat="0" applyAlignment="0" applyProtection="0"/>
    <xf numFmtId="0" fontId="24" fillId="0" borderId="6" applyNumberFormat="0" applyFill="0" applyAlignment="0" applyProtection="0"/>
    <xf numFmtId="0" fontId="25" fillId="8" borderId="0" applyNumberFormat="0" applyBorder="0" applyAlignment="0" applyProtection="0"/>
    <xf numFmtId="0" fontId="3" fillId="0" borderId="0">
      <alignment/>
      <protection/>
    </xf>
    <xf numFmtId="0" fontId="3" fillId="0" borderId="0">
      <alignment/>
      <protection/>
    </xf>
    <xf numFmtId="0" fontId="4" fillId="0" borderId="0">
      <alignment/>
      <protection/>
    </xf>
    <xf numFmtId="0" fontId="1" fillId="0" borderId="0">
      <alignment/>
      <protection/>
    </xf>
    <xf numFmtId="0" fontId="1" fillId="0" borderId="0">
      <alignment/>
      <protection/>
    </xf>
    <xf numFmtId="0" fontId="0" fillId="4" borderId="7" applyNumberFormat="0" applyFont="0" applyAlignment="0" applyProtection="0"/>
    <xf numFmtId="0" fontId="0" fillId="4" borderId="7" applyNumberFormat="0" applyFont="0" applyAlignment="0" applyProtection="0"/>
    <xf numFmtId="0" fontId="26" fillId="2" borderId="8" applyNumberFormat="0" applyAlignment="0" applyProtection="0"/>
    <xf numFmtId="0" fontId="26" fillId="2"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 fillId="0" borderId="9" applyNumberFormat="0" applyFill="0" applyAlignment="0" applyProtection="0"/>
    <xf numFmtId="0" fontId="2" fillId="0" borderId="9" applyNumberFormat="0" applyFill="0" applyAlignment="0" applyProtection="0"/>
    <xf numFmtId="0" fontId="28" fillId="0" borderId="0" applyNumberFormat="0" applyFill="0" applyBorder="0" applyAlignment="0" applyProtection="0"/>
  </cellStyleXfs>
  <cellXfs count="146">
    <xf numFmtId="0" fontId="0" fillId="0" borderId="0" xfId="0" applyAlignment="1">
      <alignment/>
    </xf>
    <xf numFmtId="0" fontId="2" fillId="0" borderId="0" xfId="0" applyFont="1" applyAlignment="1">
      <alignment/>
    </xf>
    <xf numFmtId="0" fontId="0" fillId="0" borderId="0" xfId="0" applyAlignment="1" quotePrefix="1">
      <alignment/>
    </xf>
    <xf numFmtId="166" fontId="4" fillId="0" borderId="0" xfId="79" applyNumberFormat="1" applyFont="1">
      <alignment/>
      <protection/>
    </xf>
    <xf numFmtId="0" fontId="5" fillId="0" borderId="0" xfId="0" applyFont="1" applyAlignment="1">
      <alignment/>
    </xf>
    <xf numFmtId="0" fontId="5" fillId="0" borderId="0" xfId="0" applyFont="1" applyAlignment="1">
      <alignment horizontal="center" wrapText="1"/>
    </xf>
    <xf numFmtId="0" fontId="5" fillId="0" borderId="0" xfId="0" applyFont="1" applyAlignment="1">
      <alignment horizontal="center"/>
    </xf>
    <xf numFmtId="0" fontId="4" fillId="0" borderId="0" xfId="79" applyFont="1" applyAlignment="1">
      <alignment horizontal="center"/>
      <protection/>
    </xf>
    <xf numFmtId="1" fontId="4" fillId="0" borderId="0" xfId="79" applyNumberFormat="1" applyFont="1" applyAlignment="1">
      <alignment horizontal="center"/>
      <protection/>
    </xf>
    <xf numFmtId="0" fontId="6" fillId="0" borderId="0" xfId="0" applyFont="1" applyAlignment="1">
      <alignment/>
    </xf>
    <xf numFmtId="0" fontId="5" fillId="0" borderId="0" xfId="0" applyFont="1" applyFill="1" applyAlignment="1">
      <alignment horizontal="center"/>
    </xf>
    <xf numFmtId="0" fontId="6" fillId="0" borderId="0" xfId="0" applyFont="1" applyAlignment="1">
      <alignment horizontal="left"/>
    </xf>
    <xf numFmtId="0" fontId="6" fillId="0" borderId="0" xfId="0" applyFont="1" applyAlignment="1">
      <alignment horizontal="center"/>
    </xf>
    <xf numFmtId="0" fontId="4" fillId="0" borderId="0" xfId="77" applyFont="1" applyAlignment="1">
      <alignment horizontal="center"/>
      <protection/>
    </xf>
    <xf numFmtId="164" fontId="5" fillId="0" borderId="0" xfId="0" applyNumberFormat="1" applyFont="1" applyAlignment="1">
      <alignment horizontal="center"/>
    </xf>
    <xf numFmtId="9" fontId="5" fillId="0" borderId="0" xfId="0" applyNumberFormat="1" applyFont="1" applyAlignment="1">
      <alignment horizontal="center" wrapText="1"/>
    </xf>
    <xf numFmtId="9" fontId="5" fillId="0" borderId="0" xfId="86" applyFont="1" applyAlignment="1">
      <alignment horizontal="center"/>
    </xf>
    <xf numFmtId="1" fontId="5" fillId="0" borderId="0" xfId="0" applyNumberFormat="1" applyFont="1" applyAlignment="1">
      <alignment horizontal="center" wrapText="1"/>
    </xf>
    <xf numFmtId="164" fontId="4" fillId="0" borderId="0" xfId="79" applyNumberFormat="1" applyFont="1" applyAlignment="1">
      <alignment horizontal="center"/>
      <protection/>
    </xf>
    <xf numFmtId="9" fontId="5" fillId="0" borderId="0" xfId="0" applyNumberFormat="1" applyFont="1" applyAlignment="1">
      <alignment horizontal="center"/>
    </xf>
    <xf numFmtId="1" fontId="5" fillId="0" borderId="0" xfId="0" applyNumberFormat="1" applyFont="1" applyAlignment="1">
      <alignment horizontal="center"/>
    </xf>
    <xf numFmtId="10" fontId="5" fillId="0" borderId="0" xfId="0" applyNumberFormat="1" applyFont="1" applyAlignment="1">
      <alignment horizontal="center"/>
    </xf>
    <xf numFmtId="10" fontId="5" fillId="0" borderId="0" xfId="0" applyNumberFormat="1" applyFont="1" applyFill="1" applyAlignment="1">
      <alignment horizontal="center"/>
    </xf>
    <xf numFmtId="1" fontId="5" fillId="0" borderId="0" xfId="0" applyNumberFormat="1" applyFont="1" applyFill="1" applyAlignment="1">
      <alignment horizontal="center"/>
    </xf>
    <xf numFmtId="9" fontId="5" fillId="0" borderId="0" xfId="0" applyNumberFormat="1" applyFont="1" applyFill="1" applyAlignment="1">
      <alignment horizontal="center"/>
    </xf>
    <xf numFmtId="164" fontId="5" fillId="0" borderId="0" xfId="0" applyNumberFormat="1" applyFont="1" applyAlignment="1">
      <alignment horizontal="center" wrapText="1"/>
    </xf>
    <xf numFmtId="0" fontId="6" fillId="0" borderId="0" xfId="0" applyFont="1" applyAlignment="1">
      <alignment horizontal="center"/>
    </xf>
    <xf numFmtId="0" fontId="5" fillId="0" borderId="0" xfId="0" applyFont="1" applyFill="1" applyAlignment="1">
      <alignment/>
    </xf>
    <xf numFmtId="164" fontId="4" fillId="0" borderId="0" xfId="79" applyNumberFormat="1" applyFont="1" applyFill="1" applyAlignment="1">
      <alignment horizontal="center"/>
      <protection/>
    </xf>
    <xf numFmtId="164" fontId="5" fillId="0" borderId="0" xfId="0" applyNumberFormat="1" applyFont="1" applyFill="1" applyAlignment="1">
      <alignment horizontal="center"/>
    </xf>
    <xf numFmtId="167" fontId="5" fillId="0" borderId="0" xfId="0" applyNumberFormat="1" applyFont="1" applyAlignment="1">
      <alignment horizontal="center"/>
    </xf>
    <xf numFmtId="2" fontId="5" fillId="0" borderId="0" xfId="0" applyNumberFormat="1" applyFont="1" applyAlignment="1">
      <alignment horizontal="center"/>
    </xf>
    <xf numFmtId="165" fontId="5" fillId="0" borderId="0" xfId="0" applyNumberFormat="1" applyFont="1" applyAlignment="1">
      <alignment horizontal="center"/>
    </xf>
    <xf numFmtId="0" fontId="8" fillId="0" borderId="0" xfId="0" applyFont="1" applyAlignment="1">
      <alignment/>
    </xf>
    <xf numFmtId="0" fontId="5" fillId="0" borderId="0" xfId="0" applyFont="1" applyFill="1" applyAlignment="1">
      <alignment horizontal="center" vertical="top" wrapText="1"/>
    </xf>
    <xf numFmtId="0" fontId="5" fillId="0" borderId="0" xfId="0" applyFont="1" applyFill="1" applyAlignment="1">
      <alignment horizontal="center" wrapText="1"/>
    </xf>
    <xf numFmtId="3" fontId="5" fillId="0" borderId="0" xfId="0" applyNumberFormat="1" applyFont="1" applyFill="1" applyAlignment="1">
      <alignment horizontal="center"/>
    </xf>
    <xf numFmtId="168" fontId="5" fillId="0" borderId="0" xfId="0" applyNumberFormat="1" applyFont="1" applyFill="1" applyAlignment="1">
      <alignment horizontal="center"/>
    </xf>
    <xf numFmtId="0" fontId="0" fillId="0" borderId="0" xfId="0" applyAlignment="1">
      <alignment horizontal="center"/>
    </xf>
    <xf numFmtId="0" fontId="5" fillId="0" borderId="10" xfId="0" applyFont="1" applyBorder="1" applyAlignment="1">
      <alignment/>
    </xf>
    <xf numFmtId="0" fontId="5" fillId="0" borderId="0" xfId="0" applyFont="1" applyBorder="1" applyAlignment="1">
      <alignment/>
    </xf>
    <xf numFmtId="9" fontId="5" fillId="0" borderId="0" xfId="0" applyNumberFormat="1" applyFont="1" applyAlignment="1">
      <alignment horizontal="left"/>
    </xf>
    <xf numFmtId="1" fontId="4" fillId="0" borderId="0" xfId="77" applyNumberFormat="1" applyFont="1" applyAlignment="1">
      <alignment horizontal="center"/>
      <protection/>
    </xf>
    <xf numFmtId="0" fontId="5" fillId="0" borderId="0" xfId="0" applyFont="1" applyFill="1" applyBorder="1" applyAlignment="1">
      <alignment/>
    </xf>
    <xf numFmtId="9" fontId="4" fillId="0" borderId="0" xfId="86" applyFont="1" applyAlignment="1">
      <alignment horizontal="center"/>
    </xf>
    <xf numFmtId="9" fontId="5" fillId="0" borderId="0" xfId="86" applyFont="1" applyAlignment="1">
      <alignment horizontal="center" wrapText="1"/>
    </xf>
    <xf numFmtId="0" fontId="6" fillId="6" borderId="0" xfId="0" applyFont="1" applyFill="1" applyAlignment="1">
      <alignment/>
    </xf>
    <xf numFmtId="0" fontId="5" fillId="6" borderId="0" xfId="0" applyFont="1" applyFill="1" applyAlignment="1">
      <alignment/>
    </xf>
    <xf numFmtId="0" fontId="6" fillId="6" borderId="0" xfId="0" applyFont="1" applyFill="1" applyAlignment="1">
      <alignment horizontal="left"/>
    </xf>
    <xf numFmtId="0" fontId="6" fillId="6" borderId="0" xfId="0" applyFont="1" applyFill="1" applyAlignment="1">
      <alignment horizontal="center"/>
    </xf>
    <xf numFmtId="0" fontId="6" fillId="6" borderId="0" xfId="0" applyFont="1" applyFill="1" applyAlignment="1">
      <alignment horizontal="center"/>
    </xf>
    <xf numFmtId="0" fontId="5" fillId="6" borderId="0" xfId="0" applyFont="1" applyFill="1" applyAlignment="1">
      <alignment horizontal="center"/>
    </xf>
    <xf numFmtId="167" fontId="5" fillId="0" borderId="0" xfId="0" applyNumberFormat="1" applyFont="1" applyAlignment="1">
      <alignment horizontal="center" wrapText="1"/>
    </xf>
    <xf numFmtId="0" fontId="6" fillId="0" borderId="0" xfId="0" applyFont="1" applyAlignment="1">
      <alignment horizontal="right"/>
    </xf>
    <xf numFmtId="167" fontId="5" fillId="0" borderId="0" xfId="0" applyNumberFormat="1" applyFont="1" applyAlignment="1">
      <alignment/>
    </xf>
    <xf numFmtId="1" fontId="5" fillId="0" borderId="0" xfId="86" applyNumberFormat="1" applyFont="1" applyAlignment="1">
      <alignment horizontal="center"/>
    </xf>
    <xf numFmtId="0" fontId="11" fillId="0" borderId="0" xfId="80" applyFont="1">
      <alignment/>
      <protection/>
    </xf>
    <xf numFmtId="0" fontId="1" fillId="0" borderId="0" xfId="80">
      <alignment/>
      <protection/>
    </xf>
    <xf numFmtId="2" fontId="1" fillId="0" borderId="0" xfId="80" applyNumberFormat="1">
      <alignment/>
      <protection/>
    </xf>
    <xf numFmtId="0" fontId="10" fillId="7" borderId="11" xfId="80" applyFont="1" applyFill="1" applyBorder="1" applyAlignment="1">
      <alignment horizontal="center"/>
      <protection/>
    </xf>
    <xf numFmtId="0" fontId="1" fillId="7" borderId="11" xfId="80" applyFill="1" applyBorder="1">
      <alignment/>
      <protection/>
    </xf>
    <xf numFmtId="0" fontId="1" fillId="7" borderId="12" xfId="80" applyFill="1" applyBorder="1">
      <alignment/>
      <protection/>
    </xf>
    <xf numFmtId="38" fontId="1" fillId="0" borderId="12" xfId="80" applyNumberFormat="1" applyBorder="1">
      <alignment/>
      <protection/>
    </xf>
    <xf numFmtId="1" fontId="1" fillId="0" borderId="10" xfId="80" applyNumberFormat="1" applyBorder="1" applyAlignment="1">
      <alignment horizontal="center"/>
      <protection/>
    </xf>
    <xf numFmtId="38" fontId="1" fillId="0" borderId="13" xfId="80" applyNumberFormat="1" applyBorder="1">
      <alignment/>
      <protection/>
    </xf>
    <xf numFmtId="1" fontId="1" fillId="0" borderId="14" xfId="80" applyNumberFormat="1" applyBorder="1" applyAlignment="1">
      <alignment horizontal="center"/>
      <protection/>
    </xf>
    <xf numFmtId="0" fontId="12" fillId="8" borderId="0" xfId="80" applyFont="1" applyFill="1">
      <alignment/>
      <protection/>
    </xf>
    <xf numFmtId="0" fontId="10" fillId="8" borderId="0" xfId="80" applyFont="1" applyFill="1">
      <alignment/>
      <protection/>
    </xf>
    <xf numFmtId="0" fontId="1" fillId="8" borderId="0" xfId="80" applyFill="1">
      <alignment/>
      <protection/>
    </xf>
    <xf numFmtId="9" fontId="1" fillId="0" borderId="0" xfId="80" applyNumberFormat="1" applyFill="1" applyBorder="1" applyAlignment="1">
      <alignment horizontal="center"/>
      <protection/>
    </xf>
    <xf numFmtId="0" fontId="10" fillId="0" borderId="15" xfId="80" applyFont="1" applyBorder="1" applyAlignment="1">
      <alignment horizontal="center"/>
      <protection/>
    </xf>
    <xf numFmtId="0" fontId="10" fillId="0" borderId="11" xfId="80" applyFont="1" applyBorder="1" applyAlignment="1">
      <alignment horizontal="center"/>
      <protection/>
    </xf>
    <xf numFmtId="0" fontId="10" fillId="0" borderId="12" xfId="80" applyFont="1" applyBorder="1" applyAlignment="1">
      <alignment horizontal="center"/>
      <protection/>
    </xf>
    <xf numFmtId="0" fontId="10" fillId="0" borderId="0" xfId="80" applyFont="1" applyBorder="1" applyAlignment="1">
      <alignment horizontal="center"/>
      <protection/>
    </xf>
    <xf numFmtId="0" fontId="10" fillId="0" borderId="10" xfId="80" applyFont="1" applyBorder="1" applyAlignment="1">
      <alignment horizontal="center"/>
      <protection/>
    </xf>
    <xf numFmtId="38" fontId="1" fillId="0" borderId="11" xfId="80" applyNumberFormat="1" applyBorder="1">
      <alignment/>
      <protection/>
    </xf>
    <xf numFmtId="1" fontId="1" fillId="0" borderId="12" xfId="80" applyNumberFormat="1" applyBorder="1" applyAlignment="1">
      <alignment horizontal="center"/>
      <protection/>
    </xf>
    <xf numFmtId="1" fontId="1" fillId="0" borderId="0" xfId="80" applyNumberFormat="1" applyBorder="1" applyAlignment="1">
      <alignment horizontal="center"/>
      <protection/>
    </xf>
    <xf numFmtId="38" fontId="1" fillId="0" borderId="16" xfId="80" applyNumberFormat="1" applyBorder="1">
      <alignment/>
      <protection/>
    </xf>
    <xf numFmtId="1" fontId="1" fillId="0" borderId="13" xfId="80" applyNumberFormat="1" applyBorder="1" applyAlignment="1">
      <alignment horizontal="center"/>
      <protection/>
    </xf>
    <xf numFmtId="1" fontId="1" fillId="0" borderId="17" xfId="80" applyNumberFormat="1" applyBorder="1" applyAlignment="1">
      <alignment horizontal="center"/>
      <protection/>
    </xf>
    <xf numFmtId="164" fontId="1" fillId="0" borderId="12" xfId="87" applyNumberFormat="1" applyFont="1" applyBorder="1" applyAlignment="1">
      <alignment horizontal="center"/>
    </xf>
    <xf numFmtId="164" fontId="1" fillId="0" borderId="0" xfId="80" applyNumberFormat="1" applyFont="1" applyBorder="1" applyAlignment="1">
      <alignment horizontal="center"/>
      <protection/>
    </xf>
    <xf numFmtId="164" fontId="1" fillId="0" borderId="12" xfId="80" applyNumberFormat="1" applyFont="1" applyBorder="1" applyAlignment="1">
      <alignment horizontal="center"/>
      <protection/>
    </xf>
    <xf numFmtId="164" fontId="1" fillId="0" borderId="13" xfId="87" applyNumberFormat="1" applyFont="1" applyBorder="1" applyAlignment="1">
      <alignment horizontal="center"/>
    </xf>
    <xf numFmtId="164" fontId="1" fillId="0" borderId="17" xfId="80" applyNumberFormat="1" applyFont="1" applyBorder="1" applyAlignment="1">
      <alignment horizontal="center"/>
      <protection/>
    </xf>
    <xf numFmtId="0" fontId="13" fillId="0" borderId="0" xfId="80" applyFont="1">
      <alignment/>
      <protection/>
    </xf>
    <xf numFmtId="1" fontId="4" fillId="0" borderId="0" xfId="86" applyNumberFormat="1" applyFont="1" applyFill="1" applyAlignment="1">
      <alignment horizontal="center"/>
    </xf>
    <xf numFmtId="9" fontId="5" fillId="0" borderId="0" xfId="86" applyFont="1" applyFill="1" applyAlignment="1">
      <alignment horizontal="center" wrapText="1"/>
    </xf>
    <xf numFmtId="9" fontId="5" fillId="0" borderId="0" xfId="86" applyFont="1" applyFill="1" applyAlignment="1">
      <alignment horizontal="center"/>
    </xf>
    <xf numFmtId="1" fontId="5" fillId="0" borderId="0" xfId="86" applyNumberFormat="1" applyFont="1" applyFill="1" applyAlignment="1">
      <alignment horizontal="center"/>
    </xf>
    <xf numFmtId="0" fontId="4" fillId="0" borderId="0" xfId="79" applyFont="1" applyFill="1" applyAlignment="1">
      <alignment horizontal="center"/>
      <protection/>
    </xf>
    <xf numFmtId="164" fontId="1" fillId="0" borderId="10" xfId="80" applyNumberFormat="1" applyFont="1" applyBorder="1" applyAlignment="1">
      <alignment horizontal="center"/>
      <protection/>
    </xf>
    <xf numFmtId="164" fontId="1" fillId="0" borderId="0" xfId="87" applyNumberFormat="1" applyFont="1" applyBorder="1" applyAlignment="1">
      <alignment horizontal="center"/>
    </xf>
    <xf numFmtId="164" fontId="1" fillId="0" borderId="10" xfId="87" applyNumberFormat="1" applyFont="1" applyBorder="1" applyAlignment="1">
      <alignment horizontal="center"/>
    </xf>
    <xf numFmtId="2" fontId="1" fillId="0" borderId="14" xfId="80" applyNumberFormat="1" applyFont="1" applyBorder="1" applyAlignment="1">
      <alignment horizontal="center"/>
      <protection/>
    </xf>
    <xf numFmtId="1" fontId="1" fillId="0" borderId="0" xfId="80" applyNumberFormat="1" applyFont="1">
      <alignment/>
      <protection/>
    </xf>
    <xf numFmtId="1" fontId="0" fillId="0" borderId="0" xfId="0" applyNumberFormat="1" applyFont="1" applyBorder="1" applyAlignment="1">
      <alignment/>
    </xf>
    <xf numFmtId="38" fontId="1" fillId="0" borderId="0" xfId="80" applyNumberFormat="1" applyBorder="1">
      <alignment/>
      <protection/>
    </xf>
    <xf numFmtId="1" fontId="0" fillId="0" borderId="0" xfId="0" applyNumberFormat="1" applyBorder="1" applyAlignment="1">
      <alignment horizontal="center"/>
    </xf>
    <xf numFmtId="1" fontId="0" fillId="0" borderId="17" xfId="0" applyNumberFormat="1" applyBorder="1" applyAlignment="1">
      <alignment horizontal="center"/>
    </xf>
    <xf numFmtId="1" fontId="1" fillId="0" borderId="0" xfId="80" applyNumberFormat="1" applyFill="1" applyBorder="1" applyAlignment="1">
      <alignment horizontal="center"/>
      <protection/>
    </xf>
    <xf numFmtId="1" fontId="1" fillId="0" borderId="0" xfId="80" applyNumberFormat="1" applyFill="1" applyBorder="1">
      <alignment/>
      <protection/>
    </xf>
    <xf numFmtId="0" fontId="10" fillId="8" borderId="18" xfId="80" applyFont="1" applyFill="1" applyBorder="1" applyAlignment="1">
      <alignment/>
      <protection/>
    </xf>
    <xf numFmtId="1" fontId="1" fillId="0" borderId="0" xfId="80" applyNumberFormat="1" applyAlignment="1">
      <alignment horizontal="center"/>
      <protection/>
    </xf>
    <xf numFmtId="0" fontId="1" fillId="0" borderId="0" xfId="80" applyFont="1">
      <alignment/>
      <protection/>
    </xf>
    <xf numFmtId="0" fontId="1" fillId="0" borderId="18" xfId="80" applyBorder="1">
      <alignment/>
      <protection/>
    </xf>
    <xf numFmtId="0" fontId="1" fillId="0" borderId="18" xfId="80" applyFont="1" applyBorder="1">
      <alignment/>
      <protection/>
    </xf>
    <xf numFmtId="1" fontId="1" fillId="0" borderId="19" xfId="80" applyNumberFormat="1" applyBorder="1" applyAlignment="1">
      <alignment horizontal="center"/>
      <protection/>
    </xf>
    <xf numFmtId="0" fontId="0" fillId="0" borderId="0" xfId="0" applyBorder="1" applyAlignment="1">
      <alignment/>
    </xf>
    <xf numFmtId="0" fontId="10" fillId="7" borderId="12" xfId="80" applyFont="1" applyFill="1" applyBorder="1" applyAlignment="1">
      <alignment horizontal="center"/>
      <protection/>
    </xf>
    <xf numFmtId="0" fontId="10" fillId="7" borderId="0" xfId="80" applyFont="1" applyFill="1" applyBorder="1" applyAlignment="1">
      <alignment horizontal="center"/>
      <protection/>
    </xf>
    <xf numFmtId="0" fontId="10" fillId="7" borderId="10" xfId="80" applyFont="1" applyFill="1" applyBorder="1" applyAlignment="1">
      <alignment horizontal="center"/>
      <protection/>
    </xf>
    <xf numFmtId="0" fontId="1" fillId="0" borderId="12" xfId="80" applyFont="1" applyBorder="1" applyAlignment="1">
      <alignment/>
      <protection/>
    </xf>
    <xf numFmtId="0" fontId="1" fillId="0" borderId="12" xfId="80" applyFont="1" applyBorder="1" applyAlignment="1">
      <alignment/>
      <protection/>
    </xf>
    <xf numFmtId="0" fontId="1" fillId="0" borderId="13" xfId="80" applyFont="1" applyBorder="1" applyAlignment="1">
      <alignment/>
      <protection/>
    </xf>
    <xf numFmtId="1" fontId="1" fillId="0" borderId="20" xfId="80" applyNumberFormat="1" applyBorder="1" applyAlignment="1">
      <alignment horizontal="center"/>
      <protection/>
    </xf>
    <xf numFmtId="1" fontId="1" fillId="0" borderId="21" xfId="80" applyNumberFormat="1" applyBorder="1" applyAlignment="1">
      <alignment horizontal="center"/>
      <protection/>
    </xf>
    <xf numFmtId="0" fontId="5" fillId="0" borderId="10" xfId="0" applyFont="1" applyBorder="1" applyAlignment="1">
      <alignment horizontal="center" wrapText="1"/>
    </xf>
    <xf numFmtId="1" fontId="5" fillId="0" borderId="10" xfId="0" applyNumberFormat="1" applyFont="1" applyBorder="1" applyAlignment="1">
      <alignment horizontal="center"/>
    </xf>
    <xf numFmtId="1" fontId="5" fillId="0" borderId="10" xfId="0" applyNumberFormat="1" applyFont="1" applyBorder="1" applyAlignment="1">
      <alignment horizontal="center" wrapText="1"/>
    </xf>
    <xf numFmtId="0" fontId="5" fillId="0" borderId="10" xfId="0" applyFont="1" applyBorder="1" applyAlignment="1">
      <alignment horizontal="center"/>
    </xf>
    <xf numFmtId="0" fontId="0" fillId="0" borderId="0" xfId="0" applyFill="1" applyAlignment="1">
      <alignment/>
    </xf>
    <xf numFmtId="1" fontId="1" fillId="0" borderId="12" xfId="80" applyNumberFormat="1" applyFill="1" applyBorder="1" applyAlignment="1">
      <alignment horizontal="center"/>
      <protection/>
    </xf>
    <xf numFmtId="1" fontId="1" fillId="0" borderId="13" xfId="80" applyNumberFormat="1" applyFill="1" applyBorder="1" applyAlignment="1">
      <alignment horizontal="center"/>
      <protection/>
    </xf>
    <xf numFmtId="1" fontId="1" fillId="0" borderId="10" xfId="80" applyNumberFormat="1" applyFill="1" applyBorder="1" applyAlignment="1">
      <alignment horizontal="center"/>
      <protection/>
    </xf>
    <xf numFmtId="1" fontId="1" fillId="0" borderId="17" xfId="80" applyNumberFormat="1" applyFill="1" applyBorder="1">
      <alignment/>
      <protection/>
    </xf>
    <xf numFmtId="1" fontId="1" fillId="0" borderId="17" xfId="80" applyNumberFormat="1" applyFill="1" applyBorder="1" applyAlignment="1">
      <alignment horizontal="center"/>
      <protection/>
    </xf>
    <xf numFmtId="1" fontId="1" fillId="0" borderId="14" xfId="80" applyNumberFormat="1" applyFill="1" applyBorder="1" applyAlignment="1">
      <alignment horizontal="center"/>
      <protection/>
    </xf>
    <xf numFmtId="9" fontId="5" fillId="0" borderId="0" xfId="0" applyNumberFormat="1" applyFont="1" applyFill="1" applyAlignment="1">
      <alignment horizontal="center" wrapText="1"/>
    </xf>
    <xf numFmtId="9" fontId="4" fillId="0" borderId="0" xfId="79" applyNumberFormat="1" applyFont="1" applyFill="1" applyAlignment="1">
      <alignment horizontal="center"/>
      <protection/>
    </xf>
    <xf numFmtId="0" fontId="10" fillId="0" borderId="13" xfId="80" applyFont="1" applyBorder="1" applyAlignment="1">
      <alignment horizontal="center"/>
      <protection/>
    </xf>
    <xf numFmtId="0" fontId="10" fillId="0" borderId="17" xfId="80" applyFont="1" applyBorder="1" applyAlignment="1">
      <alignment horizontal="center"/>
      <protection/>
    </xf>
    <xf numFmtId="0" fontId="10" fillId="0" borderId="14" xfId="80" applyFont="1" applyBorder="1" applyAlignment="1">
      <alignment horizontal="center"/>
      <protection/>
    </xf>
    <xf numFmtId="0" fontId="10" fillId="0" borderId="0" xfId="80" applyFont="1" applyBorder="1" applyAlignment="1">
      <alignment horizontal="center" wrapText="1"/>
      <protection/>
    </xf>
    <xf numFmtId="1" fontId="5" fillId="0" borderId="10" xfId="0" applyNumberFormat="1" applyFont="1" applyFill="1" applyBorder="1" applyAlignment="1">
      <alignment horizontal="center" wrapText="1"/>
    </xf>
    <xf numFmtId="0" fontId="8" fillId="0" borderId="0" xfId="0" applyFont="1" applyFill="1" applyAlignment="1">
      <alignment/>
    </xf>
    <xf numFmtId="0" fontId="10" fillId="8" borderId="22" xfId="80" applyFont="1" applyFill="1" applyBorder="1" applyAlignment="1">
      <alignment horizontal="center"/>
      <protection/>
    </xf>
    <xf numFmtId="0" fontId="10" fillId="8" borderId="23" xfId="80" applyFont="1" applyFill="1" applyBorder="1" applyAlignment="1">
      <alignment horizontal="center"/>
      <protection/>
    </xf>
    <xf numFmtId="0" fontId="10" fillId="8" borderId="24" xfId="80" applyFont="1" applyFill="1" applyBorder="1" applyAlignment="1">
      <alignment horizontal="center"/>
      <protection/>
    </xf>
    <xf numFmtId="0" fontId="10" fillId="0" borderId="20" xfId="80" applyFont="1" applyBorder="1" applyAlignment="1">
      <alignment horizontal="center"/>
      <protection/>
    </xf>
    <xf numFmtId="0" fontId="10" fillId="0" borderId="21" xfId="80" applyFont="1" applyBorder="1" applyAlignment="1">
      <alignment horizontal="center"/>
      <protection/>
    </xf>
    <xf numFmtId="0" fontId="10" fillId="0" borderId="19" xfId="80" applyFont="1" applyBorder="1" applyAlignment="1">
      <alignment horizontal="center"/>
      <protection/>
    </xf>
    <xf numFmtId="0" fontId="10" fillId="7" borderId="12" xfId="80" applyFont="1" applyFill="1" applyBorder="1" applyAlignment="1">
      <alignment horizontal="center"/>
      <protection/>
    </xf>
    <xf numFmtId="0" fontId="10" fillId="7" borderId="0" xfId="80" applyFont="1" applyFill="1" applyBorder="1" applyAlignment="1">
      <alignment horizontal="center"/>
      <protection/>
    </xf>
    <xf numFmtId="0" fontId="10" fillId="7" borderId="10" xfId="80" applyFont="1" applyFill="1" applyBorder="1" applyAlignment="1">
      <alignment horizontal="center"/>
      <protection/>
    </xf>
  </cellXfs>
  <cellStyles count="8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1 2" xfId="26"/>
    <cellStyle name="40% - Accent2" xfId="27"/>
    <cellStyle name="40% - Accent3" xfId="28"/>
    <cellStyle name="40% - Accent3 2" xfId="29"/>
    <cellStyle name="40% - Accent4" xfId="30"/>
    <cellStyle name="40% - Accent4 2" xfId="31"/>
    <cellStyle name="40% - Accent5" xfId="32"/>
    <cellStyle name="40% - Accent6" xfId="33"/>
    <cellStyle name="40% - Accent6 2" xfId="34"/>
    <cellStyle name="60% - Accent1" xfId="35"/>
    <cellStyle name="60% - Accent1 2" xfId="36"/>
    <cellStyle name="60% - Accent2" xfId="37"/>
    <cellStyle name="60% - Accent3" xfId="38"/>
    <cellStyle name="60% - Accent3 2" xfId="39"/>
    <cellStyle name="60% - Accent4" xfId="40"/>
    <cellStyle name="60% - Accent4 2" xfId="41"/>
    <cellStyle name="60% - Accent5" xfId="42"/>
    <cellStyle name="60% - Accent6" xfId="43"/>
    <cellStyle name="60% - Accent6 2" xfId="44"/>
    <cellStyle name="Accent1" xfId="45"/>
    <cellStyle name="Accent1 2" xfId="46"/>
    <cellStyle name="Accent2" xfId="47"/>
    <cellStyle name="Accent2 2" xfId="48"/>
    <cellStyle name="Accent3" xfId="49"/>
    <cellStyle name="Accent3 2" xfId="50"/>
    <cellStyle name="Accent4" xfId="51"/>
    <cellStyle name="Accent4 2" xfId="52"/>
    <cellStyle name="Accent5" xfId="53"/>
    <cellStyle name="Accent6" xfId="54"/>
    <cellStyle name="Bad" xfId="55"/>
    <cellStyle name="Bad 2" xfId="56"/>
    <cellStyle name="Calculation" xfId="57"/>
    <cellStyle name="Calculation 2" xfId="58"/>
    <cellStyle name="Check Cell" xfId="59"/>
    <cellStyle name="Comma" xfId="60"/>
    <cellStyle name="Comma [0]" xfId="61"/>
    <cellStyle name="Currency" xfId="62"/>
    <cellStyle name="Currency [0]" xfId="63"/>
    <cellStyle name="Explanatory Text" xfId="64"/>
    <cellStyle name="Good" xfId="65"/>
    <cellStyle name="Heading 1" xfId="66"/>
    <cellStyle name="Heading 1 2" xfId="67"/>
    <cellStyle name="Heading 2" xfId="68"/>
    <cellStyle name="Heading 2 2" xfId="69"/>
    <cellStyle name="Heading 3" xfId="70"/>
    <cellStyle name="Heading 3 2" xfId="71"/>
    <cellStyle name="Heading 4" xfId="72"/>
    <cellStyle name="Heading 4 2" xfId="73"/>
    <cellStyle name="Input" xfId="74"/>
    <cellStyle name="Linked Cell" xfId="75"/>
    <cellStyle name="Neutral" xfId="76"/>
    <cellStyle name="Normal 2" xfId="77"/>
    <cellStyle name="Normal 3" xfId="78"/>
    <cellStyle name="Normal 4" xfId="79"/>
    <cellStyle name="Normal 5" xfId="80"/>
    <cellStyle name="Normal 5 2" xfId="81"/>
    <cellStyle name="Note" xfId="82"/>
    <cellStyle name="Note 2" xfId="83"/>
    <cellStyle name="Output" xfId="84"/>
    <cellStyle name="Output 2" xfId="85"/>
    <cellStyle name="Percent" xfId="86"/>
    <cellStyle name="Percent 2" xfId="87"/>
    <cellStyle name="Percent 2 2" xfId="88"/>
    <cellStyle name="Title" xfId="89"/>
    <cellStyle name="Title 2" xfId="90"/>
    <cellStyle name="Total" xfId="91"/>
    <cellStyle name="Total 2" xfId="92"/>
    <cellStyle name="Warning Text"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ome\erg\Projects\PhD\LUC%20Uncertainty%20Analysis\Accounting%20for%20time\Discounted%20EFs%20v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tors"/>
      <sheetName val="Woods Hole"/>
    </sheetNames>
    <sheetDataSet>
      <sheetData sheetId="0">
        <row r="4">
          <cell r="C4">
            <v>0.02</v>
          </cell>
        </row>
        <row r="6">
          <cell r="C6">
            <v>5</v>
          </cell>
        </row>
        <row r="7">
          <cell r="C7">
            <v>20</v>
          </cell>
        </row>
        <row r="8">
          <cell r="C8">
            <v>0.8</v>
          </cell>
        </row>
        <row r="9">
          <cell r="C9">
            <v>0.19999999999999996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34"/>
  <sheetViews>
    <sheetView zoomScalePageLayoutView="0" workbookViewId="0" topLeftCell="A1">
      <selection activeCell="A1" sqref="A1"/>
    </sheetView>
  </sheetViews>
  <sheetFormatPr defaultColWidth="8.7109375" defaultRowHeight="15"/>
  <cols>
    <col min="1" max="12" width="36.7109375" style="0" customWidth="1"/>
  </cols>
  <sheetData>
    <row r="1" ht="15">
      <c r="A1" s="1" t="s">
        <v>125</v>
      </c>
    </row>
    <row r="3" spans="1:3" ht="15">
      <c r="A3" t="s">
        <v>126</v>
      </c>
      <c r="B3" t="s">
        <v>127</v>
      </c>
      <c r="C3">
        <v>0</v>
      </c>
    </row>
    <row r="4" ht="15">
      <c r="A4" t="s">
        <v>128</v>
      </c>
    </row>
    <row r="5" ht="15">
      <c r="A5" t="s">
        <v>129</v>
      </c>
    </row>
    <row r="7" spans="1:2" ht="15">
      <c r="A7" s="1" t="s">
        <v>130</v>
      </c>
      <c r="B7" t="s">
        <v>131</v>
      </c>
    </row>
    <row r="8" ht="15">
      <c r="B8">
        <v>12</v>
      </c>
    </row>
    <row r="10" ht="15">
      <c r="A10" t="s">
        <v>132</v>
      </c>
    </row>
    <row r="11" spans="1:12" ht="15">
      <c r="A11" t="e">
        <f>CB_DATA_!#REF!</f>
        <v>#REF!</v>
      </c>
      <c r="B11" t="e">
        <f>#REF!</f>
        <v>#REF!</v>
      </c>
      <c r="C11" t="e">
        <f>#REF!</f>
        <v>#REF!</v>
      </c>
      <c r="D11" t="e">
        <f>#REF!</f>
        <v>#REF!</v>
      </c>
      <c r="E11" t="e">
        <f>'Woods Hole'!#REF!</f>
        <v>#REF!</v>
      </c>
      <c r="F11" t="e">
        <f>#REF!</f>
        <v>#REF!</v>
      </c>
      <c r="G11" t="e">
        <f>#REF!</f>
        <v>#REF!</v>
      </c>
      <c r="H11" t="e">
        <f>#REF!</f>
        <v>#REF!</v>
      </c>
      <c r="J11" t="e">
        <f>#REF!</f>
        <v>#REF!</v>
      </c>
      <c r="K11" t="e">
        <f>Factors!#REF!</f>
        <v>#REF!</v>
      </c>
      <c r="L11" t="e">
        <f>'GTAP EFs'!#REF!</f>
        <v>#REF!</v>
      </c>
    </row>
    <row r="13" ht="15">
      <c r="A13" t="s">
        <v>133</v>
      </c>
    </row>
    <row r="14" spans="1:12" ht="15">
      <c r="A14" t="s">
        <v>137</v>
      </c>
      <c r="B14" t="s">
        <v>140</v>
      </c>
      <c r="C14" t="s">
        <v>205</v>
      </c>
      <c r="D14" t="s">
        <v>117</v>
      </c>
      <c r="E14" t="s">
        <v>177</v>
      </c>
      <c r="F14" t="s">
        <v>78</v>
      </c>
      <c r="G14" t="s">
        <v>179</v>
      </c>
      <c r="H14" t="s">
        <v>122</v>
      </c>
      <c r="J14" t="s">
        <v>79</v>
      </c>
      <c r="K14" t="s">
        <v>11</v>
      </c>
      <c r="L14" t="s">
        <v>13</v>
      </c>
    </row>
    <row r="16" ht="15">
      <c r="A16" t="s">
        <v>134</v>
      </c>
    </row>
    <row r="17" spans="2:10" ht="15">
      <c r="B17">
        <v>1</v>
      </c>
      <c r="C17">
        <v>1</v>
      </c>
      <c r="D17">
        <v>1</v>
      </c>
      <c r="F17">
        <v>1</v>
      </c>
      <c r="G17">
        <v>1</v>
      </c>
      <c r="H17">
        <v>1</v>
      </c>
      <c r="J17">
        <v>1</v>
      </c>
    </row>
    <row r="19" ht="15">
      <c r="A19" t="s">
        <v>135</v>
      </c>
    </row>
    <row r="20" spans="1:12" ht="15">
      <c r="A20">
        <v>34</v>
      </c>
      <c r="B20">
        <v>26</v>
      </c>
      <c r="C20">
        <v>26</v>
      </c>
      <c r="D20">
        <v>31</v>
      </c>
      <c r="E20">
        <v>26</v>
      </c>
      <c r="F20">
        <v>26</v>
      </c>
      <c r="G20">
        <v>26</v>
      </c>
      <c r="H20">
        <v>31</v>
      </c>
      <c r="J20">
        <v>31</v>
      </c>
      <c r="K20">
        <v>26</v>
      </c>
      <c r="L20">
        <v>26</v>
      </c>
    </row>
    <row r="25" ht="15">
      <c r="A25" s="1" t="s">
        <v>136</v>
      </c>
    </row>
    <row r="26" spans="1:10" ht="15">
      <c r="A26" s="2" t="s">
        <v>138</v>
      </c>
      <c r="D26" s="2" t="s">
        <v>138</v>
      </c>
      <c r="H26" s="2" t="s">
        <v>141</v>
      </c>
      <c r="J26" s="2" t="s">
        <v>141</v>
      </c>
    </row>
    <row r="27" spans="1:10" ht="15">
      <c r="A27" t="s">
        <v>123</v>
      </c>
      <c r="D27" t="s">
        <v>80</v>
      </c>
      <c r="H27" t="s">
        <v>4</v>
      </c>
      <c r="J27" t="s">
        <v>5</v>
      </c>
    </row>
    <row r="28" spans="1:10" ht="15">
      <c r="A28" s="2" t="s">
        <v>139</v>
      </c>
      <c r="D28" s="2" t="s">
        <v>139</v>
      </c>
      <c r="H28" s="2" t="s">
        <v>139</v>
      </c>
      <c r="J28" s="2" t="s">
        <v>139</v>
      </c>
    </row>
    <row r="29" spans="1:10" ht="15">
      <c r="A29" s="2" t="s">
        <v>178</v>
      </c>
      <c r="D29" s="2" t="s">
        <v>141</v>
      </c>
      <c r="H29" s="2" t="s">
        <v>138</v>
      </c>
      <c r="J29" s="2" t="s">
        <v>138</v>
      </c>
    </row>
    <row r="30" spans="1:10" ht="15">
      <c r="A30" t="s">
        <v>1</v>
      </c>
      <c r="D30" t="s">
        <v>3</v>
      </c>
      <c r="H30" t="s">
        <v>118</v>
      </c>
      <c r="J30" t="s">
        <v>33</v>
      </c>
    </row>
    <row r="31" spans="1:10" ht="15">
      <c r="A31" s="2" t="s">
        <v>139</v>
      </c>
      <c r="D31" s="2" t="s">
        <v>139</v>
      </c>
      <c r="H31" s="2" t="s">
        <v>139</v>
      </c>
      <c r="J31" s="2" t="s">
        <v>139</v>
      </c>
    </row>
    <row r="32" ht="15">
      <c r="A32" s="2" t="s">
        <v>181</v>
      </c>
    </row>
    <row r="33" ht="15">
      <c r="A33" t="s">
        <v>0</v>
      </c>
    </row>
    <row r="34" ht="15">
      <c r="A34" s="2" t="s">
        <v>180</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M115"/>
  <sheetViews>
    <sheetView zoomScale="80" zoomScaleNormal="80" zoomScalePageLayoutView="0" workbookViewId="0" topLeftCell="A1">
      <selection activeCell="Q21" sqref="Q21"/>
    </sheetView>
  </sheetViews>
  <sheetFormatPr defaultColWidth="9.140625" defaultRowHeight="15"/>
  <cols>
    <col min="1" max="1" width="14.57421875" style="57" customWidth="1"/>
    <col min="2" max="2" width="21.57421875" style="57" customWidth="1"/>
    <col min="3" max="11" width="9.7109375" style="57" customWidth="1"/>
    <col min="12" max="12" width="13.57421875" style="57" customWidth="1"/>
    <col min="13" max="14" width="9.7109375" style="57" customWidth="1"/>
    <col min="15" max="15" width="9.8515625" style="57" customWidth="1"/>
    <col min="16" max="16" width="9.7109375" style="57" customWidth="1"/>
    <col min="17" max="17" width="14.57421875" style="57" customWidth="1"/>
    <col min="18" max="18" width="9.7109375" style="57" customWidth="1"/>
    <col min="19" max="20" width="9.28125" style="57" bestFit="1" customWidth="1"/>
    <col min="21" max="16384" width="9.140625" style="57" customWidth="1"/>
  </cols>
  <sheetData>
    <row r="1" spans="1:6" ht="18.75">
      <c r="A1" s="66" t="s">
        <v>27</v>
      </c>
      <c r="B1" s="67"/>
      <c r="C1" s="67"/>
      <c r="D1" s="67"/>
      <c r="E1" s="68"/>
      <c r="F1" s="68"/>
    </row>
    <row r="2" ht="12.75">
      <c r="A2" s="56" t="s">
        <v>34</v>
      </c>
    </row>
    <row r="3" ht="12.75">
      <c r="A3" s="56" t="s">
        <v>35</v>
      </c>
    </row>
    <row r="4" ht="12.75">
      <c r="A4" s="56" t="s">
        <v>28</v>
      </c>
    </row>
    <row r="5" ht="12.75">
      <c r="A5" s="56"/>
    </row>
    <row r="6" spans="1:15" s="56" customFormat="1" ht="15">
      <c r="A6" s="143" t="s">
        <v>36</v>
      </c>
      <c r="B6" s="144"/>
      <c r="C6" s="144"/>
      <c r="D6" s="144"/>
      <c r="E6" s="144"/>
      <c r="F6" s="144"/>
      <c r="G6" s="144"/>
      <c r="H6" s="144"/>
      <c r="I6" s="144"/>
      <c r="J6" s="144"/>
      <c r="K6" s="144"/>
      <c r="L6"/>
      <c r="M6"/>
      <c r="N6"/>
      <c r="O6" s="57"/>
    </row>
    <row r="7" spans="1:15" s="56" customFormat="1" ht="12.75">
      <c r="A7" s="59" t="s">
        <v>37</v>
      </c>
      <c r="B7" s="110" t="s">
        <v>38</v>
      </c>
      <c r="C7" s="143" t="s">
        <v>24</v>
      </c>
      <c r="D7" s="144"/>
      <c r="E7" s="145"/>
      <c r="F7" s="143" t="s">
        <v>26</v>
      </c>
      <c r="G7" s="144"/>
      <c r="H7" s="145"/>
      <c r="I7" s="143" t="s">
        <v>25</v>
      </c>
      <c r="J7" s="144"/>
      <c r="K7" s="145"/>
      <c r="O7" s="57"/>
    </row>
    <row r="8" spans="1:15" s="56" customFormat="1" ht="12.75">
      <c r="A8" s="60"/>
      <c r="B8" s="61"/>
      <c r="C8" s="110" t="s">
        <v>39</v>
      </c>
      <c r="D8" s="111" t="s">
        <v>40</v>
      </c>
      <c r="E8" s="112" t="s">
        <v>71</v>
      </c>
      <c r="F8" s="110" t="s">
        <v>39</v>
      </c>
      <c r="G8" s="111" t="s">
        <v>40</v>
      </c>
      <c r="H8" s="112" t="s">
        <v>29</v>
      </c>
      <c r="I8" s="110" t="s">
        <v>39</v>
      </c>
      <c r="J8" s="111" t="s">
        <v>40</v>
      </c>
      <c r="K8" s="112" t="s">
        <v>71</v>
      </c>
      <c r="O8" s="57"/>
    </row>
    <row r="9" spans="1:15" s="56" customFormat="1" ht="12.75">
      <c r="A9" s="62" t="s">
        <v>41</v>
      </c>
      <c r="B9" s="113" t="s">
        <v>160</v>
      </c>
      <c r="C9" s="81">
        <f>'Woods Hole'!F59</f>
        <v>153.86991542488923</v>
      </c>
      <c r="D9" s="82">
        <f>'Woods Hole'!I59</f>
        <v>39.8942811115586</v>
      </c>
      <c r="E9" s="92">
        <f>'Woods Hole'!O59</f>
        <v>0.4461313210140975</v>
      </c>
      <c r="F9" s="81">
        <v>0</v>
      </c>
      <c r="G9" s="82">
        <f>'Woods Hole'!I60+MAX(0,'Woods Hole'!I59-'Woods Hole'!I60)*RegainedSoilC</f>
        <v>34.92071083366895</v>
      </c>
      <c r="H9" s="92">
        <f>'Woods Hole'!Q59</f>
        <v>0.8302974803752967</v>
      </c>
      <c r="I9" s="81">
        <f>'Woods Hole'!F60</f>
        <v>9</v>
      </c>
      <c r="J9" s="82">
        <f>'Woods Hole'!I60</f>
        <v>20</v>
      </c>
      <c r="K9" s="92">
        <v>0</v>
      </c>
      <c r="O9" s="57"/>
    </row>
    <row r="10" spans="1:15" s="56" customFormat="1" ht="12.75">
      <c r="A10" s="62" t="s">
        <v>42</v>
      </c>
      <c r="B10" s="114" t="s">
        <v>153</v>
      </c>
      <c r="C10" s="81">
        <f>'Woods Hole'!F48</f>
        <v>144</v>
      </c>
      <c r="D10" s="82">
        <f>'Woods Hole'!I48</f>
        <v>33.5</v>
      </c>
      <c r="E10" s="92">
        <f>'Woods Hole'!O48</f>
        <v>0.495158851849072</v>
      </c>
      <c r="F10" s="81">
        <v>0</v>
      </c>
      <c r="G10" s="82">
        <f>'Woods Hole'!I49+MAX(0,'Woods Hole'!I48-'Woods Hole'!I49)*RegainedSoilC</f>
        <v>47.25</v>
      </c>
      <c r="H10" s="92">
        <f>'Woods Hole'!Q48</f>
        <v>2.3676587454177236</v>
      </c>
      <c r="I10" s="81">
        <f>'Woods Hole'!F49</f>
        <v>6.300000000000001</v>
      </c>
      <c r="J10" s="82">
        <f>'Woods Hole'!I49</f>
        <v>47.25</v>
      </c>
      <c r="K10" s="92">
        <v>0</v>
      </c>
      <c r="O10" s="57"/>
    </row>
    <row r="11" spans="1:12" s="56" customFormat="1" ht="12.75">
      <c r="A11" s="62" t="s">
        <v>43</v>
      </c>
      <c r="B11" s="114" t="s">
        <v>155</v>
      </c>
      <c r="C11" s="81">
        <v>0</v>
      </c>
      <c r="D11" s="82">
        <f>'Woods Hole'!I$12*RegainedSoilC</f>
        <v>29.62500000000001</v>
      </c>
      <c r="E11" s="92">
        <f>'Woods Hole'!Q$12</f>
        <v>1.7162404841346852</v>
      </c>
      <c r="F11" s="81">
        <v>0</v>
      </c>
      <c r="G11" s="82">
        <f>'Woods Hole'!I13+MAX(0,'Woods Hole'!I12-'Woods Hole'!I13)*RegainedSoilC</f>
        <v>47.25</v>
      </c>
      <c r="H11" s="92">
        <f>'Woods Hole'!Q12</f>
        <v>1.7162404841346852</v>
      </c>
      <c r="I11" s="81">
        <v>0</v>
      </c>
      <c r="J11" s="82">
        <f>'Woods Hole'!I10*RegainedSoilC</f>
        <v>35.4375</v>
      </c>
      <c r="K11" s="92">
        <f>'Woods Hole'!S10/RegrowingForestUptakeDuration</f>
        <v>0.23333333333333334</v>
      </c>
      <c r="L11" s="56" t="s">
        <v>44</v>
      </c>
    </row>
    <row r="12" spans="1:12" s="56" customFormat="1" ht="12.75">
      <c r="A12" s="62" t="s">
        <v>45</v>
      </c>
      <c r="B12" s="114" t="s">
        <v>157</v>
      </c>
      <c r="C12" s="83">
        <f>'Woods Hole'!F70</f>
        <v>81.6414550553046</v>
      </c>
      <c r="D12" s="82">
        <f>'Woods Hole'!I70</f>
        <v>20.476874543123184</v>
      </c>
      <c r="E12" s="92">
        <f>'Woods Hole'!O70</f>
        <v>0.12619321200998096</v>
      </c>
      <c r="F12" s="83">
        <v>0</v>
      </c>
      <c r="G12" s="82">
        <f>'Woods Hole'!I71+MAX(0,'Woods Hole'!I70-'Woods Hole'!I71)*RegainedSoilC</f>
        <v>18.00361029097731</v>
      </c>
      <c r="H12" s="92">
        <f>'Woods Hole'!Q70</f>
        <v>0.8952405729208186</v>
      </c>
      <c r="I12" s="83">
        <f>'Woods Hole'!F71</f>
        <v>8.924564218914282</v>
      </c>
      <c r="J12" s="82">
        <f>'Woods Hole'!I71</f>
        <v>10.583817534539683</v>
      </c>
      <c r="K12" s="92">
        <v>0</v>
      </c>
      <c r="L12" s="57"/>
    </row>
    <row r="13" spans="1:12" s="56" customFormat="1" ht="12.75">
      <c r="A13" s="62" t="s">
        <v>46</v>
      </c>
      <c r="B13" s="114" t="s">
        <v>47</v>
      </c>
      <c r="C13" s="83">
        <f aca="true" t="shared" si="0" ref="C13:H13">C24</f>
        <v>118.02574003154162</v>
      </c>
      <c r="D13" s="82">
        <f t="shared" si="0"/>
        <v>25.497366853477487</v>
      </c>
      <c r="E13" s="92">
        <f t="shared" si="0"/>
        <v>0.4315702387001136</v>
      </c>
      <c r="F13" s="83">
        <f t="shared" si="0"/>
        <v>0</v>
      </c>
      <c r="G13" s="82">
        <f t="shared" si="0"/>
        <v>22.70053039051691</v>
      </c>
      <c r="H13" s="92">
        <f t="shared" si="0"/>
        <v>1.2749852584520212</v>
      </c>
      <c r="I13" s="83">
        <f>I23</f>
        <v>8.991401041084387</v>
      </c>
      <c r="J13" s="82">
        <f>J23</f>
        <v>14.310021001635183</v>
      </c>
      <c r="K13" s="92">
        <v>0</v>
      </c>
      <c r="L13" s="86"/>
    </row>
    <row r="14" spans="1:12" s="56" customFormat="1" ht="12.75">
      <c r="A14" s="62" t="s">
        <v>48</v>
      </c>
      <c r="B14" s="114" t="s">
        <v>49</v>
      </c>
      <c r="C14" s="83">
        <f aca="true" t="shared" si="1" ref="C14:H14">C24</f>
        <v>118.02574003154162</v>
      </c>
      <c r="D14" s="82">
        <f t="shared" si="1"/>
        <v>25.497366853477487</v>
      </c>
      <c r="E14" s="92">
        <f t="shared" si="1"/>
        <v>0.4315702387001136</v>
      </c>
      <c r="F14" s="83">
        <f t="shared" si="1"/>
        <v>0</v>
      </c>
      <c r="G14" s="82">
        <f t="shared" si="1"/>
        <v>22.70053039051691</v>
      </c>
      <c r="H14" s="92">
        <f t="shared" si="1"/>
        <v>1.2749852584520212</v>
      </c>
      <c r="I14" s="83">
        <f>'Woods Hole'!K89</f>
        <v>6.3</v>
      </c>
      <c r="J14" s="82">
        <f>'Woods Hole'!I89</f>
        <v>47.25</v>
      </c>
      <c r="K14" s="92">
        <v>0</v>
      </c>
      <c r="L14" s="56" t="s">
        <v>50</v>
      </c>
    </row>
    <row r="15" spans="1:12" s="56" customFormat="1" ht="12.75">
      <c r="A15" s="62" t="s">
        <v>51</v>
      </c>
      <c r="B15" s="114" t="s">
        <v>49</v>
      </c>
      <c r="C15" s="83">
        <f aca="true" t="shared" si="2" ref="C15:J15">C14</f>
        <v>118.02574003154162</v>
      </c>
      <c r="D15" s="82">
        <f t="shared" si="2"/>
        <v>25.497366853477487</v>
      </c>
      <c r="E15" s="92">
        <f t="shared" si="2"/>
        <v>0.4315702387001136</v>
      </c>
      <c r="F15" s="83">
        <f t="shared" si="2"/>
        <v>0</v>
      </c>
      <c r="G15" s="82">
        <f t="shared" si="2"/>
        <v>22.70053039051691</v>
      </c>
      <c r="H15" s="92">
        <f t="shared" si="2"/>
        <v>1.2749852584520212</v>
      </c>
      <c r="I15" s="83">
        <f t="shared" si="2"/>
        <v>6.3</v>
      </c>
      <c r="J15" s="82">
        <f t="shared" si="2"/>
        <v>47.25</v>
      </c>
      <c r="K15" s="92">
        <v>0</v>
      </c>
      <c r="L15" s="56" t="s">
        <v>50</v>
      </c>
    </row>
    <row r="16" spans="1:12" s="56" customFormat="1" ht="12.75">
      <c r="A16" s="62" t="s">
        <v>52</v>
      </c>
      <c r="B16" s="114" t="s">
        <v>157</v>
      </c>
      <c r="C16" s="83">
        <f aca="true" t="shared" si="3" ref="C16:J16">C12</f>
        <v>81.6414550553046</v>
      </c>
      <c r="D16" s="82">
        <f t="shared" si="3"/>
        <v>20.476874543123184</v>
      </c>
      <c r="E16" s="92">
        <f t="shared" si="3"/>
        <v>0.12619321200998096</v>
      </c>
      <c r="F16" s="83">
        <f t="shared" si="3"/>
        <v>0</v>
      </c>
      <c r="G16" s="82">
        <f t="shared" si="3"/>
        <v>18.00361029097731</v>
      </c>
      <c r="H16" s="92">
        <f t="shared" si="3"/>
        <v>0.8952405729208186</v>
      </c>
      <c r="I16" s="83">
        <f t="shared" si="3"/>
        <v>8.924564218914282</v>
      </c>
      <c r="J16" s="82">
        <f t="shared" si="3"/>
        <v>10.583817534539683</v>
      </c>
      <c r="K16" s="92">
        <v>0</v>
      </c>
      <c r="L16" s="57"/>
    </row>
    <row r="17" spans="1:12" s="56" customFormat="1" ht="12.75">
      <c r="A17" s="62" t="s">
        <v>53</v>
      </c>
      <c r="B17" s="114" t="s">
        <v>157</v>
      </c>
      <c r="C17" s="83">
        <f aca="true" t="shared" si="4" ref="C17:J17">C12</f>
        <v>81.6414550553046</v>
      </c>
      <c r="D17" s="82">
        <f t="shared" si="4"/>
        <v>20.476874543123184</v>
      </c>
      <c r="E17" s="92">
        <f t="shared" si="4"/>
        <v>0.12619321200998096</v>
      </c>
      <c r="F17" s="83">
        <f t="shared" si="4"/>
        <v>0</v>
      </c>
      <c r="G17" s="82">
        <f t="shared" si="4"/>
        <v>18.00361029097731</v>
      </c>
      <c r="H17" s="92">
        <f t="shared" si="4"/>
        <v>0.8952405729208186</v>
      </c>
      <c r="I17" s="83">
        <f t="shared" si="4"/>
        <v>8.924564218914282</v>
      </c>
      <c r="J17" s="82">
        <f t="shared" si="4"/>
        <v>10.583817534539683</v>
      </c>
      <c r="K17" s="92">
        <v>0</v>
      </c>
      <c r="L17" s="58"/>
    </row>
    <row r="18" spans="1:12" s="56" customFormat="1" ht="12.75">
      <c r="A18" s="62" t="s">
        <v>54</v>
      </c>
      <c r="B18" s="114" t="s">
        <v>156</v>
      </c>
      <c r="C18" s="81">
        <f>C11</f>
        <v>0</v>
      </c>
      <c r="D18" s="82">
        <f>'Woods Hole'!I30*RegainedSoilC</f>
        <v>25.125</v>
      </c>
      <c r="E18" s="92">
        <f>'Woods Hole'!Q$30</f>
        <v>1.9893531606830415</v>
      </c>
      <c r="F18" s="81">
        <v>0</v>
      </c>
      <c r="G18" s="82">
        <f>'Woods Hole'!I31+MAX(0,'Woods Hole'!I30-'Woods Hole'!I31)*RegainedSoilC</f>
        <v>47.25</v>
      </c>
      <c r="H18" s="92">
        <f>'Woods Hole'!Q30</f>
        <v>1.9893531606830415</v>
      </c>
      <c r="I18" s="81">
        <v>0</v>
      </c>
      <c r="J18" s="82">
        <f>'Woods Hole'!I28*RegainedSoilC</f>
        <v>35.4375</v>
      </c>
      <c r="K18" s="92">
        <f>'Woods Hole'!S28/RegrowingForestUptakeDuration</f>
        <v>0.23333333333333334</v>
      </c>
      <c r="L18" s="56" t="s">
        <v>44</v>
      </c>
    </row>
    <row r="19" spans="1:15" s="56" customFormat="1" ht="12.75">
      <c r="A19" s="62" t="s">
        <v>55</v>
      </c>
      <c r="B19" s="114" t="s">
        <v>155</v>
      </c>
      <c r="C19" s="81">
        <f>C11</f>
        <v>0</v>
      </c>
      <c r="D19" s="82">
        <f>D11</f>
        <v>29.62500000000001</v>
      </c>
      <c r="E19" s="92">
        <f>E11</f>
        <v>1.7162404841346852</v>
      </c>
      <c r="F19" s="81">
        <f aca="true" t="shared" si="5" ref="F19:K19">F11</f>
        <v>0</v>
      </c>
      <c r="G19" s="93">
        <f t="shared" si="5"/>
        <v>47.25</v>
      </c>
      <c r="H19" s="94">
        <f t="shared" si="5"/>
        <v>1.7162404841346852</v>
      </c>
      <c r="I19" s="81">
        <f t="shared" si="5"/>
        <v>0</v>
      </c>
      <c r="J19" s="93">
        <f t="shared" si="5"/>
        <v>35.4375</v>
      </c>
      <c r="K19" s="94">
        <f t="shared" si="5"/>
        <v>0.23333333333333334</v>
      </c>
      <c r="L19" s="56" t="s">
        <v>44</v>
      </c>
      <c r="O19" s="57"/>
    </row>
    <row r="20" spans="1:15" s="56" customFormat="1" ht="12.75">
      <c r="A20" s="62" t="s">
        <v>56</v>
      </c>
      <c r="B20" s="114" t="s">
        <v>57</v>
      </c>
      <c r="C20" s="81">
        <f>'Woods Hole'!F39</f>
        <v>24.3</v>
      </c>
      <c r="D20" s="82">
        <f>'Woods Hole'!I39</f>
        <v>17.25</v>
      </c>
      <c r="E20" s="92">
        <f>'Woods Hole'!O39</f>
        <v>0</v>
      </c>
      <c r="F20" s="81">
        <v>0</v>
      </c>
      <c r="G20" s="82">
        <f>'Woods Hole'!I40+MAX(0,'Woods Hole'!I39-'Woods Hole'!I40)*RegainedSoilC</f>
        <v>16.007796427903497</v>
      </c>
      <c r="H20" s="92">
        <f>'Woods Hole'!Q39</f>
        <v>0</v>
      </c>
      <c r="I20" s="81">
        <f>'Woods Hole'!F40</f>
        <v>10.188498223302783</v>
      </c>
      <c r="J20" s="82">
        <f>'Woods Hole'!I40</f>
        <v>12.281185711613988</v>
      </c>
      <c r="K20" s="92">
        <v>0</v>
      </c>
      <c r="O20" s="57"/>
    </row>
    <row r="21" spans="1:15" s="56" customFormat="1" ht="12.75">
      <c r="A21" s="62" t="s">
        <v>58</v>
      </c>
      <c r="B21" s="114" t="s">
        <v>154</v>
      </c>
      <c r="C21" s="83">
        <f>'Woods Hole'!F86</f>
        <v>53.88942929621363</v>
      </c>
      <c r="D21" s="82">
        <f>'Woods Hole'!I86</f>
        <v>27.599041070563015</v>
      </c>
      <c r="E21" s="92">
        <f>'Woods Hole'!O86</f>
        <v>0.05769948598657649</v>
      </c>
      <c r="F21" s="83">
        <v>0</v>
      </c>
      <c r="G21" s="82">
        <f>'Woods Hole'!I87+MAX(0,'Woods Hole'!I86-'Woods Hole'!I87)*RegainedSoilC</f>
        <v>22.57428080292226</v>
      </c>
      <c r="H21" s="92">
        <f>'Woods Hole'!Q86</f>
        <v>0.42281989961467936</v>
      </c>
      <c r="I21" s="83">
        <f>'Woods Hole'!F87</f>
        <v>4.095635104245378</v>
      </c>
      <c r="J21" s="82">
        <f>'Woods Hole'!I87</f>
        <v>7.5</v>
      </c>
      <c r="K21" s="92">
        <v>0</v>
      </c>
      <c r="O21" s="57"/>
    </row>
    <row r="22" spans="1:15" s="56" customFormat="1" ht="12.75">
      <c r="A22" s="62" t="s">
        <v>59</v>
      </c>
      <c r="B22" s="114" t="s">
        <v>154</v>
      </c>
      <c r="C22" s="83">
        <f aca="true" t="shared" si="6" ref="C22:J22">C21</f>
        <v>53.88942929621363</v>
      </c>
      <c r="D22" s="82">
        <f t="shared" si="6"/>
        <v>27.599041070563015</v>
      </c>
      <c r="E22" s="92">
        <f t="shared" si="6"/>
        <v>0.05769948598657649</v>
      </c>
      <c r="F22" s="83">
        <f t="shared" si="6"/>
        <v>0</v>
      </c>
      <c r="G22" s="82">
        <f t="shared" si="6"/>
        <v>22.57428080292226</v>
      </c>
      <c r="H22" s="92">
        <f t="shared" si="6"/>
        <v>0.42281989961467936</v>
      </c>
      <c r="I22" s="83">
        <f t="shared" si="6"/>
        <v>4.095635104245378</v>
      </c>
      <c r="J22" s="82">
        <f t="shared" si="6"/>
        <v>7.5</v>
      </c>
      <c r="K22" s="92">
        <v>0</v>
      </c>
      <c r="O22" s="57"/>
    </row>
    <row r="23" spans="1:11" s="56" customFormat="1" ht="12.75">
      <c r="A23" s="62" t="s">
        <v>60</v>
      </c>
      <c r="B23" s="114" t="s">
        <v>159</v>
      </c>
      <c r="C23" s="81">
        <f>'Woods Hole'!F77</f>
        <v>198.86009833974532</v>
      </c>
      <c r="D23" s="82">
        <f>'Woods Hole'!I77</f>
        <v>27.174203304050856</v>
      </c>
      <c r="E23" s="92">
        <f>'Woods Hole'!O77</f>
        <v>0.980335639268068</v>
      </c>
      <c r="F23" s="81">
        <v>0</v>
      </c>
      <c r="G23" s="82">
        <f>'Woods Hole'!I96+MAX(0,'Woods Hole'!I77-'Woods Hole'!I96)*RegainedSoilC</f>
        <v>23.95815772844694</v>
      </c>
      <c r="H23" s="92">
        <f>'Woods Hole'!Q77</f>
        <v>2.2649296587013477</v>
      </c>
      <c r="I23" s="81">
        <f>I24</f>
        <v>8.991401041084387</v>
      </c>
      <c r="J23" s="82">
        <f>J24</f>
        <v>14.310021001635183</v>
      </c>
      <c r="K23" s="92">
        <f>K24</f>
        <v>0</v>
      </c>
    </row>
    <row r="24" spans="1:15" s="56" customFormat="1" ht="12.75">
      <c r="A24" s="62" t="s">
        <v>61</v>
      </c>
      <c r="B24" s="114" t="s">
        <v>161</v>
      </c>
      <c r="C24" s="83">
        <f>'Woods Hole'!F95</f>
        <v>118.02574003154162</v>
      </c>
      <c r="D24" s="82">
        <f>'Woods Hole'!I95</f>
        <v>25.497366853477487</v>
      </c>
      <c r="E24" s="92">
        <f>'Woods Hole'!O95</f>
        <v>0.4315702387001136</v>
      </c>
      <c r="F24" s="83">
        <v>0</v>
      </c>
      <c r="G24" s="82">
        <f>'Woods Hole'!I96+MAX(0,'Woods Hole'!I95-'Woods Hole'!I96)*RegainedSoilC</f>
        <v>22.70053039051691</v>
      </c>
      <c r="H24" s="92">
        <f>'Woods Hole'!Q95</f>
        <v>1.2749852584520212</v>
      </c>
      <c r="I24" s="83">
        <f>'Woods Hole'!F96</f>
        <v>8.991401041084387</v>
      </c>
      <c r="J24" s="82">
        <f>'Woods Hole'!I96</f>
        <v>14.310021001635183</v>
      </c>
      <c r="K24" s="92">
        <v>0</v>
      </c>
      <c r="O24" s="57"/>
    </row>
    <row r="25" spans="1:15" s="56" customFormat="1" ht="12.75">
      <c r="A25" s="62" t="s">
        <v>62</v>
      </c>
      <c r="B25" s="114" t="s">
        <v>159</v>
      </c>
      <c r="C25" s="83">
        <f aca="true" t="shared" si="7" ref="C25:J25">C23</f>
        <v>198.86009833974532</v>
      </c>
      <c r="D25" s="82">
        <f t="shared" si="7"/>
        <v>27.174203304050856</v>
      </c>
      <c r="E25" s="92">
        <f t="shared" si="7"/>
        <v>0.980335639268068</v>
      </c>
      <c r="F25" s="83">
        <f t="shared" si="7"/>
        <v>0</v>
      </c>
      <c r="G25" s="82">
        <f t="shared" si="7"/>
        <v>23.95815772844694</v>
      </c>
      <c r="H25" s="92">
        <f t="shared" si="7"/>
        <v>2.2649296587013477</v>
      </c>
      <c r="I25" s="83">
        <f t="shared" si="7"/>
        <v>8.991401041084387</v>
      </c>
      <c r="J25" s="82">
        <f t="shared" si="7"/>
        <v>14.310021001635183</v>
      </c>
      <c r="K25" s="92">
        <v>0</v>
      </c>
      <c r="O25" s="57"/>
    </row>
    <row r="26" spans="1:15" s="56" customFormat="1" ht="12.75">
      <c r="A26" s="64" t="s">
        <v>63</v>
      </c>
      <c r="B26" s="115" t="s">
        <v>158</v>
      </c>
      <c r="C26" s="84">
        <f>'Woods Hole'!F21</f>
        <v>83.03504464285734</v>
      </c>
      <c r="D26" s="85">
        <f>'Woods Hole'!I21</f>
        <v>21.77678571428573</v>
      </c>
      <c r="E26" s="95">
        <f>'Woods Hole'!O21</f>
        <v>0.03537708335159562</v>
      </c>
      <c r="F26" s="84">
        <v>0</v>
      </c>
      <c r="G26" s="85">
        <f>'Woods Hole'!I22+MAX(0,'Woods Hole'!I21-'Woods Hole'!I22)*RegainedSoilC</f>
        <v>18.9575892857143</v>
      </c>
      <c r="H26" s="95">
        <f>'Woods Hole'!Q21</f>
        <v>1.1664802224453836</v>
      </c>
      <c r="I26" s="84">
        <f>'Woods Hole'!F22</f>
        <v>16.2</v>
      </c>
      <c r="J26" s="85">
        <f>'Woods Hole'!I22</f>
        <v>10.5</v>
      </c>
      <c r="K26" s="95">
        <v>0</v>
      </c>
      <c r="O26" s="57"/>
    </row>
    <row r="27" spans="2:4" ht="12.75">
      <c r="B27" s="69"/>
      <c r="D27" s="56"/>
    </row>
    <row r="28" ht="12.75">
      <c r="B28" s="56" t="s">
        <v>66</v>
      </c>
    </row>
    <row r="29" spans="2:18" ht="12.75">
      <c r="B29" s="137" t="s">
        <v>67</v>
      </c>
      <c r="C29" s="138"/>
      <c r="D29" s="138"/>
      <c r="E29" s="138"/>
      <c r="F29" s="138"/>
      <c r="G29" s="138"/>
      <c r="H29" s="138"/>
      <c r="I29" s="138"/>
      <c r="J29" s="138"/>
      <c r="K29" s="138"/>
      <c r="L29" s="138"/>
      <c r="M29" s="138"/>
      <c r="N29" s="138"/>
      <c r="O29" s="138"/>
      <c r="P29" s="138"/>
      <c r="Q29" s="138"/>
      <c r="R29" s="139"/>
    </row>
    <row r="30" spans="2:18" ht="12.75">
      <c r="B30" s="70" t="s">
        <v>68</v>
      </c>
      <c r="C30" s="140" t="s">
        <v>15</v>
      </c>
      <c r="D30" s="141"/>
      <c r="E30" s="141"/>
      <c r="F30" s="142"/>
      <c r="G30" s="140" t="s">
        <v>16</v>
      </c>
      <c r="H30" s="141"/>
      <c r="I30" s="141"/>
      <c r="J30" s="142"/>
      <c r="K30" s="140" t="s">
        <v>69</v>
      </c>
      <c r="L30" s="141"/>
      <c r="M30" s="141"/>
      <c r="N30" s="142"/>
      <c r="O30" s="140" t="s">
        <v>70</v>
      </c>
      <c r="P30" s="141"/>
      <c r="Q30" s="141"/>
      <c r="R30" s="142"/>
    </row>
    <row r="31" spans="2:18" ht="12.75">
      <c r="B31" s="71"/>
      <c r="C31" s="72" t="s">
        <v>39</v>
      </c>
      <c r="D31" s="73" t="s">
        <v>40</v>
      </c>
      <c r="E31" s="73" t="s">
        <v>71</v>
      </c>
      <c r="F31" s="74" t="s">
        <v>162</v>
      </c>
      <c r="G31" s="72" t="s">
        <v>39</v>
      </c>
      <c r="H31" s="73" t="s">
        <v>40</v>
      </c>
      <c r="I31" s="73" t="s">
        <v>29</v>
      </c>
      <c r="J31" s="74" t="s">
        <v>162</v>
      </c>
      <c r="K31" s="131" t="s">
        <v>39</v>
      </c>
      <c r="L31" s="132" t="s">
        <v>40</v>
      </c>
      <c r="M31" s="132" t="s">
        <v>71</v>
      </c>
      <c r="N31" s="133" t="s">
        <v>162</v>
      </c>
      <c r="O31" s="72" t="s">
        <v>39</v>
      </c>
      <c r="P31" s="73" t="s">
        <v>40</v>
      </c>
      <c r="Q31" s="73" t="s">
        <v>71</v>
      </c>
      <c r="R31" s="74" t="s">
        <v>162</v>
      </c>
    </row>
    <row r="32" spans="2:18" ht="12.75">
      <c r="B32" s="75" t="s">
        <v>41</v>
      </c>
      <c r="C32" s="116">
        <f aca="true" t="shared" si="8" ref="C32:E49">C9*CO2PerC</f>
        <v>564.1896898912605</v>
      </c>
      <c r="D32" s="117">
        <f t="shared" si="8"/>
        <v>146.2790307423815</v>
      </c>
      <c r="E32" s="117">
        <f t="shared" si="8"/>
        <v>1.6358148437183575</v>
      </c>
      <c r="F32" s="108">
        <f aca="true" t="shared" si="9" ref="F32:F49">C32+D32+E32*UptakeYears</f>
        <v>759.5431659451928</v>
      </c>
      <c r="G32" s="116">
        <f aca="true" t="shared" si="10" ref="G32:I49">F9*CO2PerC</f>
        <v>0</v>
      </c>
      <c r="H32" s="117">
        <f t="shared" si="10"/>
        <v>128.04260639011946</v>
      </c>
      <c r="I32" s="117">
        <f t="shared" si="10"/>
        <v>3.044424094709421</v>
      </c>
      <c r="J32" s="108">
        <f aca="true" t="shared" si="11" ref="J32:J49">G32+H32+I32*UptakeYears</f>
        <v>219.37532923140208</v>
      </c>
      <c r="K32" s="123">
        <v>18.33</v>
      </c>
      <c r="L32" s="77">
        <v>0</v>
      </c>
      <c r="M32" s="77">
        <v>0</v>
      </c>
      <c r="N32" s="63">
        <f aca="true" t="shared" si="12" ref="N32:N49">K32+L32+M32*UptakeYears</f>
        <v>18.33</v>
      </c>
      <c r="O32" s="116">
        <f aca="true" t="shared" si="13" ref="O32:O49">I9*CO2PerC</f>
        <v>33</v>
      </c>
      <c r="P32" s="117">
        <f aca="true" t="shared" si="14" ref="P32:P49">J9*CO2PerC</f>
        <v>73.33333333333333</v>
      </c>
      <c r="Q32" s="117">
        <f aca="true" t="shared" si="15" ref="Q32:Q49">K9*CO2PerC</f>
        <v>0</v>
      </c>
      <c r="R32" s="108">
        <f aca="true" t="shared" si="16" ref="R32:R49">O32+P32+Q32*UptakeYears</f>
        <v>106.33333333333333</v>
      </c>
    </row>
    <row r="33" spans="2:18" ht="12.75">
      <c r="B33" s="75" t="s">
        <v>42</v>
      </c>
      <c r="C33" s="76">
        <f t="shared" si="8"/>
        <v>528</v>
      </c>
      <c r="D33" s="77">
        <f t="shared" si="8"/>
        <v>122.83333333333333</v>
      </c>
      <c r="E33" s="77">
        <f t="shared" si="8"/>
        <v>1.8155824567799306</v>
      </c>
      <c r="F33" s="63">
        <f t="shared" si="9"/>
        <v>705.3008070367313</v>
      </c>
      <c r="G33" s="76">
        <f t="shared" si="10"/>
        <v>0</v>
      </c>
      <c r="H33" s="77">
        <f t="shared" si="10"/>
        <v>173.25</v>
      </c>
      <c r="I33" s="77">
        <f t="shared" si="10"/>
        <v>8.681415399864987</v>
      </c>
      <c r="J33" s="63">
        <f t="shared" si="11"/>
        <v>433.6924619959496</v>
      </c>
      <c r="K33" s="123">
        <v>18.33</v>
      </c>
      <c r="L33" s="77">
        <v>0</v>
      </c>
      <c r="M33" s="77">
        <v>0</v>
      </c>
      <c r="N33" s="63">
        <f t="shared" si="12"/>
        <v>18.33</v>
      </c>
      <c r="O33" s="76">
        <f t="shared" si="13"/>
        <v>23.1</v>
      </c>
      <c r="P33" s="77">
        <f t="shared" si="14"/>
        <v>173.25</v>
      </c>
      <c r="Q33" s="77">
        <f t="shared" si="15"/>
        <v>0</v>
      </c>
      <c r="R33" s="63">
        <f t="shared" si="16"/>
        <v>196.35</v>
      </c>
    </row>
    <row r="34" spans="2:19" ht="15">
      <c r="B34" s="75" t="s">
        <v>43</v>
      </c>
      <c r="C34" s="76">
        <f t="shared" si="8"/>
        <v>0</v>
      </c>
      <c r="D34" s="77">
        <f t="shared" si="8"/>
        <v>108.62500000000003</v>
      </c>
      <c r="E34" s="77">
        <f t="shared" si="8"/>
        <v>6.292881775160512</v>
      </c>
      <c r="F34" s="63">
        <f t="shared" si="9"/>
        <v>297.4114532548154</v>
      </c>
      <c r="G34" s="76">
        <f t="shared" si="10"/>
        <v>0</v>
      </c>
      <c r="H34" s="77">
        <f t="shared" si="10"/>
        <v>173.25</v>
      </c>
      <c r="I34" s="77">
        <f t="shared" si="10"/>
        <v>6.292881775160512</v>
      </c>
      <c r="J34" s="63">
        <f t="shared" si="11"/>
        <v>362.03645325481534</v>
      </c>
      <c r="K34" s="123">
        <v>18.33</v>
      </c>
      <c r="L34" s="77">
        <v>0</v>
      </c>
      <c r="M34" s="77">
        <v>0</v>
      </c>
      <c r="N34" s="63">
        <f t="shared" si="12"/>
        <v>18.33</v>
      </c>
      <c r="O34" s="76">
        <f t="shared" si="13"/>
        <v>0</v>
      </c>
      <c r="P34" s="77">
        <f t="shared" si="14"/>
        <v>129.9375</v>
      </c>
      <c r="Q34" s="77">
        <f t="shared" si="15"/>
        <v>0.8555555555555555</v>
      </c>
      <c r="R34" s="63">
        <f t="shared" si="16"/>
        <v>155.60416666666666</v>
      </c>
      <c r="S34"/>
    </row>
    <row r="35" spans="2:19" ht="15">
      <c r="B35" s="75" t="s">
        <v>45</v>
      </c>
      <c r="C35" s="76">
        <f t="shared" si="8"/>
        <v>299.3520018694502</v>
      </c>
      <c r="D35" s="77">
        <f t="shared" si="8"/>
        <v>75.08187332478501</v>
      </c>
      <c r="E35" s="77">
        <f t="shared" si="8"/>
        <v>0.46270844403659683</v>
      </c>
      <c r="F35" s="63">
        <f t="shared" si="9"/>
        <v>388.31512851533313</v>
      </c>
      <c r="G35" s="76">
        <f t="shared" si="10"/>
        <v>0</v>
      </c>
      <c r="H35" s="77">
        <f t="shared" si="10"/>
        <v>66.01323773358347</v>
      </c>
      <c r="I35" s="77">
        <f t="shared" si="10"/>
        <v>3.2825487673763347</v>
      </c>
      <c r="J35" s="63">
        <f t="shared" si="11"/>
        <v>164.48970075487352</v>
      </c>
      <c r="K35" s="123">
        <v>18.33</v>
      </c>
      <c r="L35" s="77">
        <v>0</v>
      </c>
      <c r="M35" s="77">
        <v>0</v>
      </c>
      <c r="N35" s="63">
        <f t="shared" si="12"/>
        <v>18.33</v>
      </c>
      <c r="O35" s="76">
        <f t="shared" si="13"/>
        <v>32.72340213601903</v>
      </c>
      <c r="P35" s="77">
        <f t="shared" si="14"/>
        <v>38.807330959978835</v>
      </c>
      <c r="Q35" s="77">
        <f t="shared" si="15"/>
        <v>0</v>
      </c>
      <c r="R35" s="63">
        <f t="shared" si="16"/>
        <v>71.53073309599787</v>
      </c>
      <c r="S35"/>
    </row>
    <row r="36" spans="2:19" ht="15">
      <c r="B36" s="75" t="s">
        <v>46</v>
      </c>
      <c r="C36" s="76">
        <f t="shared" si="8"/>
        <v>432.7610467823192</v>
      </c>
      <c r="D36" s="77">
        <f t="shared" si="8"/>
        <v>93.49034512941745</v>
      </c>
      <c r="E36" s="77">
        <f t="shared" si="8"/>
        <v>1.582424208567083</v>
      </c>
      <c r="F36" s="63">
        <f t="shared" si="9"/>
        <v>573.7241181687491</v>
      </c>
      <c r="G36" s="76">
        <f t="shared" si="10"/>
        <v>0</v>
      </c>
      <c r="H36" s="77">
        <f t="shared" si="10"/>
        <v>83.235278098562</v>
      </c>
      <c r="I36" s="77">
        <f t="shared" si="10"/>
        <v>4.6749459476574104</v>
      </c>
      <c r="J36" s="63">
        <f t="shared" si="11"/>
        <v>223.4836565282843</v>
      </c>
      <c r="K36" s="123">
        <v>18.33</v>
      </c>
      <c r="L36" s="77">
        <v>0</v>
      </c>
      <c r="M36" s="77">
        <v>0</v>
      </c>
      <c r="N36" s="63">
        <f t="shared" si="12"/>
        <v>18.33</v>
      </c>
      <c r="O36" s="76">
        <f t="shared" si="13"/>
        <v>32.968470483976084</v>
      </c>
      <c r="P36" s="77">
        <f t="shared" si="14"/>
        <v>52.47007700599567</v>
      </c>
      <c r="Q36" s="77">
        <f t="shared" si="15"/>
        <v>0</v>
      </c>
      <c r="R36" s="63">
        <f t="shared" si="16"/>
        <v>85.43854748997175</v>
      </c>
      <c r="S36"/>
    </row>
    <row r="37" spans="2:19" ht="15">
      <c r="B37" s="75" t="s">
        <v>48</v>
      </c>
      <c r="C37" s="76">
        <f t="shared" si="8"/>
        <v>432.7610467823192</v>
      </c>
      <c r="D37" s="77">
        <f t="shared" si="8"/>
        <v>93.49034512941745</v>
      </c>
      <c r="E37" s="77">
        <f t="shared" si="8"/>
        <v>1.582424208567083</v>
      </c>
      <c r="F37" s="63">
        <f t="shared" si="9"/>
        <v>573.7241181687491</v>
      </c>
      <c r="G37" s="76">
        <f t="shared" si="10"/>
        <v>0</v>
      </c>
      <c r="H37" s="77">
        <f t="shared" si="10"/>
        <v>83.235278098562</v>
      </c>
      <c r="I37" s="77">
        <f t="shared" si="10"/>
        <v>4.6749459476574104</v>
      </c>
      <c r="J37" s="63">
        <f t="shared" si="11"/>
        <v>223.4836565282843</v>
      </c>
      <c r="K37" s="123">
        <v>18.33</v>
      </c>
      <c r="L37" s="77">
        <v>0</v>
      </c>
      <c r="M37" s="77">
        <v>0</v>
      </c>
      <c r="N37" s="63">
        <f t="shared" si="12"/>
        <v>18.33</v>
      </c>
      <c r="O37" s="76">
        <f t="shared" si="13"/>
        <v>23.099999999999998</v>
      </c>
      <c r="P37" s="77">
        <f t="shared" si="14"/>
        <v>173.25</v>
      </c>
      <c r="Q37" s="77">
        <f t="shared" si="15"/>
        <v>0</v>
      </c>
      <c r="R37" s="63">
        <f t="shared" si="16"/>
        <v>196.35</v>
      </c>
      <c r="S37"/>
    </row>
    <row r="38" spans="2:19" ht="15">
      <c r="B38" s="75" t="s">
        <v>51</v>
      </c>
      <c r="C38" s="76">
        <f t="shared" si="8"/>
        <v>432.7610467823192</v>
      </c>
      <c r="D38" s="77">
        <f t="shared" si="8"/>
        <v>93.49034512941745</v>
      </c>
      <c r="E38" s="77">
        <f t="shared" si="8"/>
        <v>1.582424208567083</v>
      </c>
      <c r="F38" s="63">
        <f t="shared" si="9"/>
        <v>573.7241181687491</v>
      </c>
      <c r="G38" s="76">
        <f t="shared" si="10"/>
        <v>0</v>
      </c>
      <c r="H38" s="77">
        <f t="shared" si="10"/>
        <v>83.235278098562</v>
      </c>
      <c r="I38" s="77">
        <f t="shared" si="10"/>
        <v>4.6749459476574104</v>
      </c>
      <c r="J38" s="63">
        <f t="shared" si="11"/>
        <v>223.4836565282843</v>
      </c>
      <c r="K38" s="123">
        <v>18.33</v>
      </c>
      <c r="L38" s="77">
        <v>0</v>
      </c>
      <c r="M38" s="77">
        <v>0</v>
      </c>
      <c r="N38" s="63">
        <f t="shared" si="12"/>
        <v>18.33</v>
      </c>
      <c r="O38" s="76">
        <f t="shared" si="13"/>
        <v>23.099999999999998</v>
      </c>
      <c r="P38" s="77">
        <f t="shared" si="14"/>
        <v>173.25</v>
      </c>
      <c r="Q38" s="77">
        <f t="shared" si="15"/>
        <v>0</v>
      </c>
      <c r="R38" s="63">
        <f t="shared" si="16"/>
        <v>196.35</v>
      </c>
      <c r="S38"/>
    </row>
    <row r="39" spans="2:19" ht="15">
      <c r="B39" s="75" t="s">
        <v>52</v>
      </c>
      <c r="C39" s="76">
        <f t="shared" si="8"/>
        <v>299.3520018694502</v>
      </c>
      <c r="D39" s="77">
        <f t="shared" si="8"/>
        <v>75.08187332478501</v>
      </c>
      <c r="E39" s="77">
        <f t="shared" si="8"/>
        <v>0.46270844403659683</v>
      </c>
      <c r="F39" s="63">
        <f t="shared" si="9"/>
        <v>388.31512851533313</v>
      </c>
      <c r="G39" s="76">
        <f t="shared" si="10"/>
        <v>0</v>
      </c>
      <c r="H39" s="77">
        <f t="shared" si="10"/>
        <v>66.01323773358347</v>
      </c>
      <c r="I39" s="77">
        <f t="shared" si="10"/>
        <v>3.2825487673763347</v>
      </c>
      <c r="J39" s="63">
        <f t="shared" si="11"/>
        <v>164.48970075487352</v>
      </c>
      <c r="K39" s="123">
        <v>18.33</v>
      </c>
      <c r="L39" s="77">
        <v>0</v>
      </c>
      <c r="M39" s="77">
        <v>0</v>
      </c>
      <c r="N39" s="63">
        <f t="shared" si="12"/>
        <v>18.33</v>
      </c>
      <c r="O39" s="76">
        <f t="shared" si="13"/>
        <v>32.72340213601903</v>
      </c>
      <c r="P39" s="77">
        <f t="shared" si="14"/>
        <v>38.807330959978835</v>
      </c>
      <c r="Q39" s="77">
        <f t="shared" si="15"/>
        <v>0</v>
      </c>
      <c r="R39" s="63">
        <f t="shared" si="16"/>
        <v>71.53073309599787</v>
      </c>
      <c r="S39"/>
    </row>
    <row r="40" spans="2:19" ht="15">
      <c r="B40" s="75" t="s">
        <v>53</v>
      </c>
      <c r="C40" s="76">
        <f t="shared" si="8"/>
        <v>299.3520018694502</v>
      </c>
      <c r="D40" s="77">
        <f t="shared" si="8"/>
        <v>75.08187332478501</v>
      </c>
      <c r="E40" s="77">
        <f t="shared" si="8"/>
        <v>0.46270844403659683</v>
      </c>
      <c r="F40" s="63">
        <f t="shared" si="9"/>
        <v>388.31512851533313</v>
      </c>
      <c r="G40" s="76">
        <f t="shared" si="10"/>
        <v>0</v>
      </c>
      <c r="H40" s="77">
        <f t="shared" si="10"/>
        <v>66.01323773358347</v>
      </c>
      <c r="I40" s="77">
        <f t="shared" si="10"/>
        <v>3.2825487673763347</v>
      </c>
      <c r="J40" s="63">
        <f t="shared" si="11"/>
        <v>164.48970075487352</v>
      </c>
      <c r="K40" s="123">
        <v>18.33</v>
      </c>
      <c r="L40" s="77">
        <v>0</v>
      </c>
      <c r="M40" s="77">
        <v>0</v>
      </c>
      <c r="N40" s="63">
        <f t="shared" si="12"/>
        <v>18.33</v>
      </c>
      <c r="O40" s="76">
        <f t="shared" si="13"/>
        <v>32.72340213601903</v>
      </c>
      <c r="P40" s="77">
        <f t="shared" si="14"/>
        <v>38.807330959978835</v>
      </c>
      <c r="Q40" s="77">
        <f t="shared" si="15"/>
        <v>0</v>
      </c>
      <c r="R40" s="63">
        <f t="shared" si="16"/>
        <v>71.53073309599787</v>
      </c>
      <c r="S40"/>
    </row>
    <row r="41" spans="2:19" ht="15">
      <c r="B41" s="75" t="s">
        <v>54</v>
      </c>
      <c r="C41" s="76">
        <f t="shared" si="8"/>
        <v>0</v>
      </c>
      <c r="D41" s="77">
        <f t="shared" si="8"/>
        <v>92.125</v>
      </c>
      <c r="E41" s="77">
        <f t="shared" si="8"/>
        <v>7.294294922504485</v>
      </c>
      <c r="F41" s="63">
        <f t="shared" si="9"/>
        <v>310.9538476751345</v>
      </c>
      <c r="G41" s="76">
        <f t="shared" si="10"/>
        <v>0</v>
      </c>
      <c r="H41" s="77">
        <f t="shared" si="10"/>
        <v>173.25</v>
      </c>
      <c r="I41" s="77">
        <f t="shared" si="10"/>
        <v>7.294294922504485</v>
      </c>
      <c r="J41" s="63">
        <f t="shared" si="11"/>
        <v>392.0788476751345</v>
      </c>
      <c r="K41" s="123">
        <v>18.33</v>
      </c>
      <c r="L41" s="77">
        <v>0</v>
      </c>
      <c r="M41" s="77">
        <v>0</v>
      </c>
      <c r="N41" s="63">
        <f t="shared" si="12"/>
        <v>18.33</v>
      </c>
      <c r="O41" s="76">
        <f t="shared" si="13"/>
        <v>0</v>
      </c>
      <c r="P41" s="77">
        <f t="shared" si="14"/>
        <v>129.9375</v>
      </c>
      <c r="Q41" s="77">
        <f t="shared" si="15"/>
        <v>0.8555555555555555</v>
      </c>
      <c r="R41" s="63">
        <f t="shared" si="16"/>
        <v>155.60416666666666</v>
      </c>
      <c r="S41"/>
    </row>
    <row r="42" spans="2:19" ht="15">
      <c r="B42" s="75" t="s">
        <v>55</v>
      </c>
      <c r="C42" s="76">
        <f t="shared" si="8"/>
        <v>0</v>
      </c>
      <c r="D42" s="77">
        <f t="shared" si="8"/>
        <v>108.62500000000003</v>
      </c>
      <c r="E42" s="77">
        <f t="shared" si="8"/>
        <v>6.292881775160512</v>
      </c>
      <c r="F42" s="63">
        <f t="shared" si="9"/>
        <v>297.4114532548154</v>
      </c>
      <c r="G42" s="76">
        <f t="shared" si="10"/>
        <v>0</v>
      </c>
      <c r="H42" s="77">
        <f t="shared" si="10"/>
        <v>173.25</v>
      </c>
      <c r="I42" s="77">
        <f t="shared" si="10"/>
        <v>6.292881775160512</v>
      </c>
      <c r="J42" s="63">
        <f t="shared" si="11"/>
        <v>362.03645325481534</v>
      </c>
      <c r="K42" s="123">
        <v>18.33</v>
      </c>
      <c r="L42" s="77">
        <v>0</v>
      </c>
      <c r="M42" s="77">
        <v>0</v>
      </c>
      <c r="N42" s="63">
        <f t="shared" si="12"/>
        <v>18.33</v>
      </c>
      <c r="O42" s="76">
        <f t="shared" si="13"/>
        <v>0</v>
      </c>
      <c r="P42" s="77">
        <f t="shared" si="14"/>
        <v>129.9375</v>
      </c>
      <c r="Q42" s="77">
        <f t="shared" si="15"/>
        <v>0.8555555555555555</v>
      </c>
      <c r="R42" s="63">
        <f t="shared" si="16"/>
        <v>155.60416666666666</v>
      </c>
      <c r="S42"/>
    </row>
    <row r="43" spans="2:18" ht="12.75">
      <c r="B43" s="75" t="s">
        <v>56</v>
      </c>
      <c r="C43" s="76">
        <f t="shared" si="8"/>
        <v>89.1</v>
      </c>
      <c r="D43" s="77">
        <f t="shared" si="8"/>
        <v>63.25</v>
      </c>
      <c r="E43" s="77">
        <f t="shared" si="8"/>
        <v>0</v>
      </c>
      <c r="F43" s="63">
        <f t="shared" si="9"/>
        <v>152.35</v>
      </c>
      <c r="G43" s="76">
        <f t="shared" si="10"/>
        <v>0</v>
      </c>
      <c r="H43" s="77">
        <f t="shared" si="10"/>
        <v>58.69525356897948</v>
      </c>
      <c r="I43" s="77">
        <f t="shared" si="10"/>
        <v>0</v>
      </c>
      <c r="J43" s="63">
        <f t="shared" si="11"/>
        <v>58.69525356897948</v>
      </c>
      <c r="K43" s="123">
        <v>18.33</v>
      </c>
      <c r="L43" s="77">
        <v>0</v>
      </c>
      <c r="M43" s="77">
        <v>0</v>
      </c>
      <c r="N43" s="63">
        <f t="shared" si="12"/>
        <v>18.33</v>
      </c>
      <c r="O43" s="76">
        <f t="shared" si="13"/>
        <v>37.35782681877687</v>
      </c>
      <c r="P43" s="77">
        <f t="shared" si="14"/>
        <v>45.031014275917954</v>
      </c>
      <c r="Q43" s="77">
        <f t="shared" si="15"/>
        <v>0</v>
      </c>
      <c r="R43" s="63">
        <f t="shared" si="16"/>
        <v>82.38884109469483</v>
      </c>
    </row>
    <row r="44" spans="2:18" ht="12.75">
      <c r="B44" s="75" t="s">
        <v>58</v>
      </c>
      <c r="C44" s="76">
        <f t="shared" si="8"/>
        <v>197.59457408611664</v>
      </c>
      <c r="D44" s="77">
        <f t="shared" si="8"/>
        <v>101.19648392539771</v>
      </c>
      <c r="E44" s="77">
        <f t="shared" si="8"/>
        <v>0.21156478195078046</v>
      </c>
      <c r="F44" s="63">
        <f t="shared" si="9"/>
        <v>305.13800147003775</v>
      </c>
      <c r="G44" s="76">
        <f t="shared" si="10"/>
        <v>0</v>
      </c>
      <c r="H44" s="77">
        <f t="shared" si="10"/>
        <v>82.77236294404828</v>
      </c>
      <c r="I44" s="77">
        <f t="shared" si="10"/>
        <v>1.550339631920491</v>
      </c>
      <c r="J44" s="63">
        <f t="shared" si="11"/>
        <v>129.282551901663</v>
      </c>
      <c r="K44" s="123">
        <v>18.33</v>
      </c>
      <c r="L44" s="77">
        <v>0</v>
      </c>
      <c r="M44" s="77">
        <v>0</v>
      </c>
      <c r="N44" s="63">
        <f t="shared" si="12"/>
        <v>18.33</v>
      </c>
      <c r="O44" s="76">
        <f t="shared" si="13"/>
        <v>15.017328715566386</v>
      </c>
      <c r="P44" s="77">
        <f t="shared" si="14"/>
        <v>27.5</v>
      </c>
      <c r="Q44" s="77">
        <f t="shared" si="15"/>
        <v>0</v>
      </c>
      <c r="R44" s="63">
        <f t="shared" si="16"/>
        <v>42.517328715566386</v>
      </c>
    </row>
    <row r="45" spans="2:18" ht="12.75">
      <c r="B45" s="75" t="s">
        <v>59</v>
      </c>
      <c r="C45" s="76">
        <f t="shared" si="8"/>
        <v>197.59457408611664</v>
      </c>
      <c r="D45" s="77">
        <f t="shared" si="8"/>
        <v>101.19648392539771</v>
      </c>
      <c r="E45" s="77">
        <f t="shared" si="8"/>
        <v>0.21156478195078046</v>
      </c>
      <c r="F45" s="63">
        <f t="shared" si="9"/>
        <v>305.13800147003775</v>
      </c>
      <c r="G45" s="76">
        <f t="shared" si="10"/>
        <v>0</v>
      </c>
      <c r="H45" s="77">
        <f t="shared" si="10"/>
        <v>82.77236294404828</v>
      </c>
      <c r="I45" s="77">
        <f t="shared" si="10"/>
        <v>1.550339631920491</v>
      </c>
      <c r="J45" s="63">
        <f t="shared" si="11"/>
        <v>129.282551901663</v>
      </c>
      <c r="K45" s="123">
        <v>18.33</v>
      </c>
      <c r="L45" s="77">
        <v>0</v>
      </c>
      <c r="M45" s="77">
        <v>0</v>
      </c>
      <c r="N45" s="63">
        <f t="shared" si="12"/>
        <v>18.33</v>
      </c>
      <c r="O45" s="76">
        <f t="shared" si="13"/>
        <v>15.017328715566386</v>
      </c>
      <c r="P45" s="77">
        <f t="shared" si="14"/>
        <v>27.5</v>
      </c>
      <c r="Q45" s="77">
        <f t="shared" si="15"/>
        <v>0</v>
      </c>
      <c r="R45" s="63">
        <f t="shared" si="16"/>
        <v>42.517328715566386</v>
      </c>
    </row>
    <row r="46" spans="2:18" ht="12.75">
      <c r="B46" s="75" t="s">
        <v>60</v>
      </c>
      <c r="C46" s="76">
        <f t="shared" si="8"/>
        <v>729.1536939123995</v>
      </c>
      <c r="D46" s="77">
        <f t="shared" si="8"/>
        <v>99.63874544818647</v>
      </c>
      <c r="E46" s="77">
        <f t="shared" si="8"/>
        <v>3.5945640106495826</v>
      </c>
      <c r="F46" s="63">
        <f t="shared" si="9"/>
        <v>936.6293596800734</v>
      </c>
      <c r="G46" s="76">
        <f t="shared" si="10"/>
        <v>0</v>
      </c>
      <c r="H46" s="77">
        <f t="shared" si="10"/>
        <v>87.84657833763877</v>
      </c>
      <c r="I46" s="77">
        <f t="shared" si="10"/>
        <v>8.30474208190494</v>
      </c>
      <c r="J46" s="63">
        <f t="shared" si="11"/>
        <v>336.988840794787</v>
      </c>
      <c r="K46" s="123">
        <v>18.33</v>
      </c>
      <c r="L46" s="77">
        <v>0</v>
      </c>
      <c r="M46" s="77">
        <v>0</v>
      </c>
      <c r="N46" s="63">
        <f t="shared" si="12"/>
        <v>18.33</v>
      </c>
      <c r="O46" s="76">
        <f t="shared" si="13"/>
        <v>32.968470483976084</v>
      </c>
      <c r="P46" s="77">
        <f t="shared" si="14"/>
        <v>52.47007700599567</v>
      </c>
      <c r="Q46" s="77">
        <f t="shared" si="15"/>
        <v>0</v>
      </c>
      <c r="R46" s="63">
        <f t="shared" si="16"/>
        <v>85.43854748997175</v>
      </c>
    </row>
    <row r="47" spans="2:18" ht="12.75">
      <c r="B47" s="75" t="s">
        <v>61</v>
      </c>
      <c r="C47" s="76">
        <f t="shared" si="8"/>
        <v>432.7610467823192</v>
      </c>
      <c r="D47" s="77">
        <f t="shared" si="8"/>
        <v>93.49034512941745</v>
      </c>
      <c r="E47" s="77">
        <f t="shared" si="8"/>
        <v>1.582424208567083</v>
      </c>
      <c r="F47" s="63">
        <f t="shared" si="9"/>
        <v>573.7241181687491</v>
      </c>
      <c r="G47" s="76">
        <f t="shared" si="10"/>
        <v>0</v>
      </c>
      <c r="H47" s="77">
        <f t="shared" si="10"/>
        <v>83.235278098562</v>
      </c>
      <c r="I47" s="77">
        <f t="shared" si="10"/>
        <v>4.6749459476574104</v>
      </c>
      <c r="J47" s="63">
        <f t="shared" si="11"/>
        <v>223.4836565282843</v>
      </c>
      <c r="K47" s="123">
        <v>18.33</v>
      </c>
      <c r="L47" s="77">
        <v>0</v>
      </c>
      <c r="M47" s="77">
        <v>0</v>
      </c>
      <c r="N47" s="63">
        <f t="shared" si="12"/>
        <v>18.33</v>
      </c>
      <c r="O47" s="76">
        <f t="shared" si="13"/>
        <v>32.968470483976084</v>
      </c>
      <c r="P47" s="77">
        <f t="shared" si="14"/>
        <v>52.47007700599567</v>
      </c>
      <c r="Q47" s="77">
        <f t="shared" si="15"/>
        <v>0</v>
      </c>
      <c r="R47" s="63">
        <f t="shared" si="16"/>
        <v>85.43854748997175</v>
      </c>
    </row>
    <row r="48" spans="2:18" ht="12.75">
      <c r="B48" s="75" t="s">
        <v>62</v>
      </c>
      <c r="C48" s="76">
        <f t="shared" si="8"/>
        <v>729.1536939123995</v>
      </c>
      <c r="D48" s="77">
        <f t="shared" si="8"/>
        <v>99.63874544818647</v>
      </c>
      <c r="E48" s="77">
        <f t="shared" si="8"/>
        <v>3.5945640106495826</v>
      </c>
      <c r="F48" s="63">
        <f t="shared" si="9"/>
        <v>936.6293596800734</v>
      </c>
      <c r="G48" s="76">
        <f t="shared" si="10"/>
        <v>0</v>
      </c>
      <c r="H48" s="77">
        <f t="shared" si="10"/>
        <v>87.84657833763877</v>
      </c>
      <c r="I48" s="77">
        <f t="shared" si="10"/>
        <v>8.30474208190494</v>
      </c>
      <c r="J48" s="63">
        <f t="shared" si="11"/>
        <v>336.988840794787</v>
      </c>
      <c r="K48" s="123">
        <v>18.33</v>
      </c>
      <c r="L48" s="77">
        <v>0</v>
      </c>
      <c r="M48" s="77">
        <v>0</v>
      </c>
      <c r="N48" s="63">
        <f t="shared" si="12"/>
        <v>18.33</v>
      </c>
      <c r="O48" s="76">
        <f t="shared" si="13"/>
        <v>32.968470483976084</v>
      </c>
      <c r="P48" s="77">
        <f t="shared" si="14"/>
        <v>52.47007700599567</v>
      </c>
      <c r="Q48" s="77">
        <f t="shared" si="15"/>
        <v>0</v>
      </c>
      <c r="R48" s="63">
        <f t="shared" si="16"/>
        <v>85.43854748997175</v>
      </c>
    </row>
    <row r="49" spans="2:18" ht="12.75">
      <c r="B49" s="78" t="s">
        <v>63</v>
      </c>
      <c r="C49" s="79">
        <f t="shared" si="8"/>
        <v>304.4618303571436</v>
      </c>
      <c r="D49" s="80">
        <f t="shared" si="8"/>
        <v>79.84821428571433</v>
      </c>
      <c r="E49" s="80">
        <f t="shared" si="8"/>
        <v>0.1297159722891839</v>
      </c>
      <c r="F49" s="65">
        <f t="shared" si="9"/>
        <v>388.20152381153343</v>
      </c>
      <c r="G49" s="79">
        <f t="shared" si="10"/>
        <v>0</v>
      </c>
      <c r="H49" s="80">
        <f t="shared" si="10"/>
        <v>69.51116071428577</v>
      </c>
      <c r="I49" s="80">
        <f t="shared" si="10"/>
        <v>4.277094148966406</v>
      </c>
      <c r="J49" s="65">
        <f t="shared" si="11"/>
        <v>197.82398518327796</v>
      </c>
      <c r="K49" s="124">
        <v>18.33</v>
      </c>
      <c r="L49" s="80">
        <v>0</v>
      </c>
      <c r="M49" s="80">
        <v>0</v>
      </c>
      <c r="N49" s="65">
        <f t="shared" si="12"/>
        <v>18.33</v>
      </c>
      <c r="O49" s="79">
        <f t="shared" si="13"/>
        <v>59.39999999999999</v>
      </c>
      <c r="P49" s="80">
        <f t="shared" si="14"/>
        <v>38.5</v>
      </c>
      <c r="Q49" s="80">
        <f t="shared" si="15"/>
        <v>0</v>
      </c>
      <c r="R49" s="65">
        <f t="shared" si="16"/>
        <v>97.89999999999999</v>
      </c>
    </row>
    <row r="50" spans="3:5" ht="15">
      <c r="C50"/>
      <c r="D50"/>
      <c r="E50"/>
    </row>
    <row r="51" spans="2:39" ht="15">
      <c r="B51" s="137" t="s">
        <v>72</v>
      </c>
      <c r="C51" s="138"/>
      <c r="D51" s="138"/>
      <c r="E51" s="138"/>
      <c r="F51" s="138"/>
      <c r="G51" s="139"/>
      <c r="H51"/>
      <c r="I51"/>
      <c r="J51"/>
      <c r="K51"/>
      <c r="L51"/>
      <c r="M51"/>
      <c r="N51" s="97"/>
      <c r="O51" s="97"/>
      <c r="Q51" s="98"/>
      <c r="R51" s="97"/>
      <c r="S51" s="97"/>
      <c r="T51" s="97"/>
      <c r="U51" s="97"/>
      <c r="V51" s="97"/>
      <c r="W51" s="97"/>
      <c r="X51" s="96"/>
      <c r="Y51" s="98"/>
      <c r="Z51" s="97"/>
      <c r="AA51" s="97"/>
      <c r="AB51" s="97"/>
      <c r="AC51" s="97"/>
      <c r="AD51" s="97"/>
      <c r="AE51" s="97"/>
      <c r="AG51" s="98"/>
      <c r="AH51" s="97"/>
      <c r="AI51" s="97"/>
      <c r="AJ51" s="97"/>
      <c r="AK51" s="97"/>
      <c r="AL51" s="97"/>
      <c r="AM51" s="97"/>
    </row>
    <row r="52" spans="2:13" ht="15">
      <c r="B52" s="103"/>
      <c r="C52" s="137" t="s">
        <v>73</v>
      </c>
      <c r="D52" s="138"/>
      <c r="E52" s="138"/>
      <c r="F52" s="138"/>
      <c r="G52" s="139"/>
      <c r="H52"/>
      <c r="I52"/>
      <c r="J52"/>
      <c r="K52"/>
      <c r="L52"/>
      <c r="M52"/>
    </row>
    <row r="53" spans="2:19" ht="26.25">
      <c r="B53" s="70" t="s">
        <v>68</v>
      </c>
      <c r="C53" s="134" t="s">
        <v>19</v>
      </c>
      <c r="D53" s="134" t="s">
        <v>18</v>
      </c>
      <c r="E53" s="73" t="s">
        <v>75</v>
      </c>
      <c r="F53" s="73" t="s">
        <v>76</v>
      </c>
      <c r="G53" s="74" t="s">
        <v>77</v>
      </c>
      <c r="H53"/>
      <c r="I53"/>
      <c r="J53"/>
      <c r="K53"/>
      <c r="L53"/>
      <c r="M53"/>
      <c r="N53"/>
      <c r="O53"/>
      <c r="P53"/>
      <c r="Q53"/>
      <c r="R53"/>
      <c r="S53"/>
    </row>
    <row r="54" spans="2:18" ht="15">
      <c r="B54" s="75" t="s">
        <v>41</v>
      </c>
      <c r="C54" s="101">
        <f>F32</f>
        <v>759.5431659451928</v>
      </c>
      <c r="D54" s="102">
        <f>J32</f>
        <v>219.37532923140208</v>
      </c>
      <c r="E54" s="77">
        <v>0</v>
      </c>
      <c r="F54" s="101">
        <f aca="true" t="shared" si="17" ref="F54:F71">N32</f>
        <v>18.33</v>
      </c>
      <c r="G54" s="125">
        <f aca="true" t="shared" si="18" ref="G54:G71">R32</f>
        <v>106.33333333333333</v>
      </c>
      <c r="H54"/>
      <c r="I54"/>
      <c r="J54"/>
      <c r="K54"/>
      <c r="L54"/>
      <c r="M54"/>
      <c r="N54"/>
      <c r="O54"/>
      <c r="P54"/>
      <c r="Q54"/>
      <c r="R54"/>
    </row>
    <row r="55" spans="2:18" ht="15">
      <c r="B55" s="75" t="s">
        <v>42</v>
      </c>
      <c r="C55" s="101">
        <f aca="true" t="shared" si="19" ref="C55:C70">F33</f>
        <v>705.3008070367313</v>
      </c>
      <c r="D55" s="102">
        <f aca="true" t="shared" si="20" ref="D55:D71">J33</f>
        <v>433.6924619959496</v>
      </c>
      <c r="E55" s="77">
        <v>0</v>
      </c>
      <c r="F55" s="101">
        <f t="shared" si="17"/>
        <v>18.33</v>
      </c>
      <c r="G55" s="125">
        <f t="shared" si="18"/>
        <v>196.35</v>
      </c>
      <c r="H55"/>
      <c r="I55"/>
      <c r="J55"/>
      <c r="K55"/>
      <c r="L55"/>
      <c r="M55"/>
      <c r="N55"/>
      <c r="O55"/>
      <c r="P55"/>
      <c r="Q55"/>
      <c r="R55"/>
    </row>
    <row r="56" spans="2:18" ht="15">
      <c r="B56" s="75" t="s">
        <v>43</v>
      </c>
      <c r="C56" s="101">
        <f t="shared" si="19"/>
        <v>297.4114532548154</v>
      </c>
      <c r="D56" s="102">
        <f t="shared" si="20"/>
        <v>362.03645325481534</v>
      </c>
      <c r="E56" s="77">
        <v>0</v>
      </c>
      <c r="F56" s="101">
        <f t="shared" si="17"/>
        <v>18.33</v>
      </c>
      <c r="G56" s="125">
        <f t="shared" si="18"/>
        <v>155.60416666666666</v>
      </c>
      <c r="H56"/>
      <c r="I56"/>
      <c r="J56"/>
      <c r="K56"/>
      <c r="L56"/>
      <c r="M56"/>
      <c r="N56"/>
      <c r="O56"/>
      <c r="P56"/>
      <c r="Q56"/>
      <c r="R56"/>
    </row>
    <row r="57" spans="2:18" ht="15">
      <c r="B57" s="75" t="s">
        <v>45</v>
      </c>
      <c r="C57" s="101">
        <f t="shared" si="19"/>
        <v>388.31512851533313</v>
      </c>
      <c r="D57" s="102">
        <f t="shared" si="20"/>
        <v>164.48970075487352</v>
      </c>
      <c r="E57" s="77">
        <v>0</v>
      </c>
      <c r="F57" s="101">
        <f t="shared" si="17"/>
        <v>18.33</v>
      </c>
      <c r="G57" s="125">
        <f t="shared" si="18"/>
        <v>71.53073309599787</v>
      </c>
      <c r="H57"/>
      <c r="I57"/>
      <c r="J57"/>
      <c r="K57"/>
      <c r="L57"/>
      <c r="M57"/>
      <c r="N57"/>
      <c r="O57"/>
      <c r="P57"/>
      <c r="Q57"/>
      <c r="R57"/>
    </row>
    <row r="58" spans="2:18" ht="15">
      <c r="B58" s="75" t="s">
        <v>46</v>
      </c>
      <c r="C58" s="101">
        <f t="shared" si="19"/>
        <v>573.7241181687491</v>
      </c>
      <c r="D58" s="102">
        <f t="shared" si="20"/>
        <v>223.4836565282843</v>
      </c>
      <c r="E58" s="77">
        <v>0</v>
      </c>
      <c r="F58" s="101">
        <f t="shared" si="17"/>
        <v>18.33</v>
      </c>
      <c r="G58" s="125">
        <f t="shared" si="18"/>
        <v>85.43854748997175</v>
      </c>
      <c r="H58"/>
      <c r="I58"/>
      <c r="J58"/>
      <c r="K58"/>
      <c r="L58"/>
      <c r="M58"/>
      <c r="N58"/>
      <c r="O58"/>
      <c r="P58"/>
      <c r="Q58"/>
      <c r="R58"/>
    </row>
    <row r="59" spans="2:18" ht="15">
      <c r="B59" s="75" t="s">
        <v>48</v>
      </c>
      <c r="C59" s="101">
        <f t="shared" si="19"/>
        <v>573.7241181687491</v>
      </c>
      <c r="D59" s="102">
        <f t="shared" si="20"/>
        <v>223.4836565282843</v>
      </c>
      <c r="E59" s="77">
        <v>0</v>
      </c>
      <c r="F59" s="101">
        <f t="shared" si="17"/>
        <v>18.33</v>
      </c>
      <c r="G59" s="125">
        <f t="shared" si="18"/>
        <v>196.35</v>
      </c>
      <c r="H59"/>
      <c r="I59"/>
      <c r="J59"/>
      <c r="K59"/>
      <c r="L59"/>
      <c r="M59"/>
      <c r="N59"/>
      <c r="O59"/>
      <c r="P59"/>
      <c r="Q59"/>
      <c r="R59"/>
    </row>
    <row r="60" spans="2:18" ht="15">
      <c r="B60" s="75" t="s">
        <v>51</v>
      </c>
      <c r="C60" s="101">
        <f t="shared" si="19"/>
        <v>573.7241181687491</v>
      </c>
      <c r="D60" s="102">
        <f t="shared" si="20"/>
        <v>223.4836565282843</v>
      </c>
      <c r="E60" s="77">
        <v>0</v>
      </c>
      <c r="F60" s="101">
        <f t="shared" si="17"/>
        <v>18.33</v>
      </c>
      <c r="G60" s="125">
        <f t="shared" si="18"/>
        <v>196.35</v>
      </c>
      <c r="H60"/>
      <c r="I60"/>
      <c r="J60"/>
      <c r="K60"/>
      <c r="L60"/>
      <c r="M60"/>
      <c r="N60"/>
      <c r="O60"/>
      <c r="P60"/>
      <c r="Q60"/>
      <c r="R60"/>
    </row>
    <row r="61" spans="2:18" ht="15">
      <c r="B61" s="75" t="s">
        <v>52</v>
      </c>
      <c r="C61" s="101">
        <f t="shared" si="19"/>
        <v>388.31512851533313</v>
      </c>
      <c r="D61" s="102">
        <f t="shared" si="20"/>
        <v>164.48970075487352</v>
      </c>
      <c r="E61" s="77">
        <v>0</v>
      </c>
      <c r="F61" s="101">
        <f t="shared" si="17"/>
        <v>18.33</v>
      </c>
      <c r="G61" s="125">
        <f t="shared" si="18"/>
        <v>71.53073309599787</v>
      </c>
      <c r="H61"/>
      <c r="I61"/>
      <c r="J61"/>
      <c r="K61"/>
      <c r="L61"/>
      <c r="M61"/>
      <c r="N61"/>
      <c r="O61"/>
      <c r="P61"/>
      <c r="Q61"/>
      <c r="R61"/>
    </row>
    <row r="62" spans="2:18" ht="15">
      <c r="B62" s="75" t="s">
        <v>53</v>
      </c>
      <c r="C62" s="101">
        <f t="shared" si="19"/>
        <v>388.31512851533313</v>
      </c>
      <c r="D62" s="102">
        <f t="shared" si="20"/>
        <v>164.48970075487352</v>
      </c>
      <c r="E62" s="77">
        <v>0</v>
      </c>
      <c r="F62" s="101">
        <f t="shared" si="17"/>
        <v>18.33</v>
      </c>
      <c r="G62" s="125">
        <f t="shared" si="18"/>
        <v>71.53073309599787</v>
      </c>
      <c r="H62"/>
      <c r="I62"/>
      <c r="J62"/>
      <c r="K62"/>
      <c r="L62"/>
      <c r="M62"/>
      <c r="N62"/>
      <c r="O62"/>
      <c r="P62"/>
      <c r="Q62"/>
      <c r="R62"/>
    </row>
    <row r="63" spans="2:18" ht="15">
      <c r="B63" s="75" t="s">
        <v>54</v>
      </c>
      <c r="C63" s="101">
        <f t="shared" si="19"/>
        <v>310.9538476751345</v>
      </c>
      <c r="D63" s="102">
        <f t="shared" si="20"/>
        <v>392.0788476751345</v>
      </c>
      <c r="E63" s="77">
        <v>0</v>
      </c>
      <c r="F63" s="101">
        <f t="shared" si="17"/>
        <v>18.33</v>
      </c>
      <c r="G63" s="125">
        <f t="shared" si="18"/>
        <v>155.60416666666666</v>
      </c>
      <c r="H63"/>
      <c r="I63"/>
      <c r="J63"/>
      <c r="K63"/>
      <c r="L63"/>
      <c r="M63"/>
      <c r="N63"/>
      <c r="O63"/>
      <c r="P63"/>
      <c r="Q63"/>
      <c r="R63"/>
    </row>
    <row r="64" spans="2:18" ht="15">
      <c r="B64" s="75" t="s">
        <v>55</v>
      </c>
      <c r="C64" s="101">
        <f t="shared" si="19"/>
        <v>297.4114532548154</v>
      </c>
      <c r="D64" s="102">
        <f t="shared" si="20"/>
        <v>362.03645325481534</v>
      </c>
      <c r="E64" s="77">
        <v>0</v>
      </c>
      <c r="F64" s="101">
        <f t="shared" si="17"/>
        <v>18.33</v>
      </c>
      <c r="G64" s="125">
        <f t="shared" si="18"/>
        <v>155.60416666666666</v>
      </c>
      <c r="H64"/>
      <c r="I64"/>
      <c r="J64"/>
      <c r="K64"/>
      <c r="L64"/>
      <c r="M64"/>
      <c r="N64"/>
      <c r="O64"/>
      <c r="P64"/>
      <c r="Q64"/>
      <c r="R64"/>
    </row>
    <row r="65" spans="2:18" ht="15">
      <c r="B65" s="75" t="s">
        <v>56</v>
      </c>
      <c r="C65" s="101">
        <f t="shared" si="19"/>
        <v>152.35</v>
      </c>
      <c r="D65" s="102">
        <f t="shared" si="20"/>
        <v>58.69525356897948</v>
      </c>
      <c r="E65" s="77">
        <v>0</v>
      </c>
      <c r="F65" s="101">
        <f t="shared" si="17"/>
        <v>18.33</v>
      </c>
      <c r="G65" s="125">
        <f t="shared" si="18"/>
        <v>82.38884109469483</v>
      </c>
      <c r="H65"/>
      <c r="I65"/>
      <c r="J65"/>
      <c r="K65"/>
      <c r="L65"/>
      <c r="M65"/>
      <c r="N65"/>
      <c r="O65"/>
      <c r="P65"/>
      <c r="Q65"/>
      <c r="R65"/>
    </row>
    <row r="66" spans="2:18" ht="15">
      <c r="B66" s="75" t="s">
        <v>58</v>
      </c>
      <c r="C66" s="101">
        <f t="shared" si="19"/>
        <v>305.13800147003775</v>
      </c>
      <c r="D66" s="102">
        <f t="shared" si="20"/>
        <v>129.282551901663</v>
      </c>
      <c r="E66" s="77">
        <v>0</v>
      </c>
      <c r="F66" s="101">
        <f t="shared" si="17"/>
        <v>18.33</v>
      </c>
      <c r="G66" s="125">
        <f t="shared" si="18"/>
        <v>42.517328715566386</v>
      </c>
      <c r="H66"/>
      <c r="I66"/>
      <c r="J66"/>
      <c r="K66"/>
      <c r="L66"/>
      <c r="M66"/>
      <c r="N66"/>
      <c r="O66"/>
      <c r="P66"/>
      <c r="Q66"/>
      <c r="R66"/>
    </row>
    <row r="67" spans="2:18" ht="15">
      <c r="B67" s="75" t="s">
        <v>59</v>
      </c>
      <c r="C67" s="101">
        <f t="shared" si="19"/>
        <v>305.13800147003775</v>
      </c>
      <c r="D67" s="102">
        <f t="shared" si="20"/>
        <v>129.282551901663</v>
      </c>
      <c r="E67" s="77">
        <v>0</v>
      </c>
      <c r="F67" s="101">
        <f t="shared" si="17"/>
        <v>18.33</v>
      </c>
      <c r="G67" s="125">
        <f t="shared" si="18"/>
        <v>42.517328715566386</v>
      </c>
      <c r="H67"/>
      <c r="I67"/>
      <c r="J67"/>
      <c r="K67"/>
      <c r="L67"/>
      <c r="M67"/>
      <c r="N67"/>
      <c r="O67"/>
      <c r="P67"/>
      <c r="Q67"/>
      <c r="R67"/>
    </row>
    <row r="68" spans="2:18" ht="15">
      <c r="B68" s="75" t="s">
        <v>60</v>
      </c>
      <c r="C68" s="101">
        <f t="shared" si="19"/>
        <v>936.6293596800734</v>
      </c>
      <c r="D68" s="102">
        <f t="shared" si="20"/>
        <v>336.988840794787</v>
      </c>
      <c r="E68" s="77">
        <v>0</v>
      </c>
      <c r="F68" s="101">
        <f t="shared" si="17"/>
        <v>18.33</v>
      </c>
      <c r="G68" s="125">
        <f t="shared" si="18"/>
        <v>85.43854748997175</v>
      </c>
      <c r="H68"/>
      <c r="I68"/>
      <c r="J68"/>
      <c r="K68"/>
      <c r="L68"/>
      <c r="M68"/>
      <c r="N68"/>
      <c r="O68"/>
      <c r="P68"/>
      <c r="Q68"/>
      <c r="R68"/>
    </row>
    <row r="69" spans="2:18" ht="15">
      <c r="B69" s="75" t="s">
        <v>61</v>
      </c>
      <c r="C69" s="101">
        <f t="shared" si="19"/>
        <v>573.7241181687491</v>
      </c>
      <c r="D69" s="102">
        <f t="shared" si="20"/>
        <v>223.4836565282843</v>
      </c>
      <c r="E69" s="77">
        <v>0</v>
      </c>
      <c r="F69" s="101">
        <f t="shared" si="17"/>
        <v>18.33</v>
      </c>
      <c r="G69" s="125">
        <f t="shared" si="18"/>
        <v>85.43854748997175</v>
      </c>
      <c r="H69"/>
      <c r="I69"/>
      <c r="J69"/>
      <c r="K69"/>
      <c r="L69"/>
      <c r="M69"/>
      <c r="N69"/>
      <c r="O69"/>
      <c r="P69"/>
      <c r="Q69"/>
      <c r="R69"/>
    </row>
    <row r="70" spans="2:18" ht="15">
      <c r="B70" s="75" t="s">
        <v>62</v>
      </c>
      <c r="C70" s="101">
        <f t="shared" si="19"/>
        <v>936.6293596800734</v>
      </c>
      <c r="D70" s="102">
        <f t="shared" si="20"/>
        <v>336.988840794787</v>
      </c>
      <c r="E70" s="77">
        <v>0</v>
      </c>
      <c r="F70" s="101">
        <f t="shared" si="17"/>
        <v>18.33</v>
      </c>
      <c r="G70" s="125">
        <f t="shared" si="18"/>
        <v>85.43854748997175</v>
      </c>
      <c r="H70"/>
      <c r="I70"/>
      <c r="J70"/>
      <c r="K70"/>
      <c r="L70"/>
      <c r="M70"/>
      <c r="N70"/>
      <c r="O70"/>
      <c r="P70"/>
      <c r="Q70"/>
      <c r="R70"/>
    </row>
    <row r="71" spans="2:18" ht="15">
      <c r="B71" s="78" t="s">
        <v>63</v>
      </c>
      <c r="C71" s="127">
        <f>F49</f>
        <v>388.20152381153343</v>
      </c>
      <c r="D71" s="126">
        <f t="shared" si="20"/>
        <v>197.82398518327796</v>
      </c>
      <c r="E71" s="80">
        <v>0</v>
      </c>
      <c r="F71" s="127">
        <f t="shared" si="17"/>
        <v>18.33</v>
      </c>
      <c r="G71" s="128">
        <f t="shared" si="18"/>
        <v>97.89999999999999</v>
      </c>
      <c r="H71"/>
      <c r="I71"/>
      <c r="J71"/>
      <c r="K71"/>
      <c r="L71"/>
      <c r="M71"/>
      <c r="N71"/>
      <c r="O71"/>
      <c r="P71"/>
      <c r="Q71"/>
      <c r="R71"/>
    </row>
    <row r="72" spans="2:18" ht="15">
      <c r="B72" s="98"/>
      <c r="C72" s="101"/>
      <c r="D72" s="102"/>
      <c r="E72" s="101"/>
      <c r="F72" s="101"/>
      <c r="G72" s="101"/>
      <c r="H72"/>
      <c r="I72"/>
      <c r="J72"/>
      <c r="K72"/>
      <c r="L72"/>
      <c r="M72"/>
      <c r="N72"/>
      <c r="O72"/>
      <c r="P72"/>
      <c r="Q72"/>
      <c r="R72"/>
    </row>
    <row r="73" spans="8:18" ht="15">
      <c r="H73"/>
      <c r="I73"/>
      <c r="J73"/>
      <c r="K73"/>
      <c r="L73"/>
      <c r="M73"/>
      <c r="N73"/>
      <c r="O73"/>
      <c r="P73"/>
      <c r="Q73"/>
      <c r="R73"/>
    </row>
    <row r="74" spans="1:13" ht="15" customHeight="1">
      <c r="A74"/>
      <c r="B74"/>
      <c r="C74"/>
      <c r="D74"/>
      <c r="E74"/>
      <c r="F74"/>
      <c r="G74"/>
      <c r="H74"/>
      <c r="I74"/>
      <c r="J74"/>
      <c r="K74"/>
      <c r="L74"/>
      <c r="M74"/>
    </row>
    <row r="75" spans="1:13" ht="15">
      <c r="A75"/>
      <c r="B75"/>
      <c r="C75"/>
      <c r="D75"/>
      <c r="E75"/>
      <c r="F75"/>
      <c r="G75"/>
      <c r="H75"/>
      <c r="I75"/>
      <c r="J75"/>
      <c r="K75"/>
      <c r="L75"/>
      <c r="M75"/>
    </row>
    <row r="76" spans="1:13" ht="15">
      <c r="A76"/>
      <c r="B76"/>
      <c r="C76"/>
      <c r="D76"/>
      <c r="E76"/>
      <c r="F76"/>
      <c r="G76"/>
      <c r="H76"/>
      <c r="I76"/>
      <c r="J76"/>
      <c r="K76"/>
      <c r="L76"/>
      <c r="M76"/>
    </row>
    <row r="77" spans="1:13" ht="15">
      <c r="A77"/>
      <c r="B77"/>
      <c r="C77"/>
      <c r="D77"/>
      <c r="E77"/>
      <c r="F77"/>
      <c r="G77"/>
      <c r="H77"/>
      <c r="I77"/>
      <c r="J77"/>
      <c r="K77"/>
      <c r="L77"/>
      <c r="M77"/>
    </row>
    <row r="78" spans="1:13" ht="15">
      <c r="A78"/>
      <c r="B78"/>
      <c r="C78"/>
      <c r="D78"/>
      <c r="E78"/>
      <c r="F78"/>
      <c r="G78"/>
      <c r="H78"/>
      <c r="I78"/>
      <c r="J78"/>
      <c r="K78"/>
      <c r="L78"/>
      <c r="M78"/>
    </row>
    <row r="79" spans="1:13" ht="15">
      <c r="A79"/>
      <c r="B79"/>
      <c r="C79"/>
      <c r="D79"/>
      <c r="E79"/>
      <c r="F79"/>
      <c r="G79"/>
      <c r="H79"/>
      <c r="I79"/>
      <c r="J79"/>
      <c r="K79"/>
      <c r="L79"/>
      <c r="M79"/>
    </row>
    <row r="80" spans="1:13" ht="15">
      <c r="A80"/>
      <c r="B80"/>
      <c r="C80"/>
      <c r="D80"/>
      <c r="E80"/>
      <c r="F80"/>
      <c r="G80"/>
      <c r="H80"/>
      <c r="I80"/>
      <c r="J80"/>
      <c r="K80"/>
      <c r="L80"/>
      <c r="M80"/>
    </row>
    <row r="81" spans="1:13" ht="15">
      <c r="A81"/>
      <c r="B81"/>
      <c r="C81"/>
      <c r="D81"/>
      <c r="E81"/>
      <c r="F81"/>
      <c r="G81"/>
      <c r="H81"/>
      <c r="I81"/>
      <c r="J81"/>
      <c r="K81"/>
      <c r="L81"/>
      <c r="M81"/>
    </row>
    <row r="82" spans="1:13" ht="15">
      <c r="A82"/>
      <c r="B82"/>
      <c r="C82"/>
      <c r="D82"/>
      <c r="E82"/>
      <c r="F82"/>
      <c r="G82"/>
      <c r="H82"/>
      <c r="I82"/>
      <c r="J82"/>
      <c r="K82"/>
      <c r="L82"/>
      <c r="M82"/>
    </row>
    <row r="83" spans="1:13" ht="15">
      <c r="A83"/>
      <c r="B83"/>
      <c r="C83"/>
      <c r="D83"/>
      <c r="E83"/>
      <c r="F83"/>
      <c r="G83"/>
      <c r="H83"/>
      <c r="I83"/>
      <c r="J83"/>
      <c r="K83"/>
      <c r="L83"/>
      <c r="M83"/>
    </row>
    <row r="84" spans="1:13" ht="15">
      <c r="A84"/>
      <c r="B84"/>
      <c r="C84"/>
      <c r="D84"/>
      <c r="E84"/>
      <c r="F84"/>
      <c r="G84"/>
      <c r="H84"/>
      <c r="I84"/>
      <c r="J84"/>
      <c r="K84"/>
      <c r="L84"/>
      <c r="M84"/>
    </row>
    <row r="85" spans="1:13" ht="15">
      <c r="A85"/>
      <c r="B85"/>
      <c r="C85"/>
      <c r="D85"/>
      <c r="E85"/>
      <c r="F85"/>
      <c r="G85"/>
      <c r="H85"/>
      <c r="I85"/>
      <c r="J85"/>
      <c r="K85"/>
      <c r="L85"/>
      <c r="M85"/>
    </row>
    <row r="86" spans="1:13" ht="15">
      <c r="A86"/>
      <c r="B86"/>
      <c r="C86"/>
      <c r="D86"/>
      <c r="E86"/>
      <c r="F86"/>
      <c r="G86"/>
      <c r="H86"/>
      <c r="I86"/>
      <c r="J86"/>
      <c r="K86"/>
      <c r="L86"/>
      <c r="M86"/>
    </row>
    <row r="87" spans="1:13" ht="15">
      <c r="A87"/>
      <c r="B87"/>
      <c r="C87"/>
      <c r="D87"/>
      <c r="E87"/>
      <c r="F87"/>
      <c r="G87"/>
      <c r="H87"/>
      <c r="I87"/>
      <c r="J87"/>
      <c r="K87"/>
      <c r="L87"/>
      <c r="M87"/>
    </row>
    <row r="88" spans="1:13" ht="15">
      <c r="A88"/>
      <c r="B88"/>
      <c r="C88"/>
      <c r="D88"/>
      <c r="E88"/>
      <c r="F88"/>
      <c r="G88"/>
      <c r="H88"/>
      <c r="I88"/>
      <c r="J88"/>
      <c r="K88"/>
      <c r="L88"/>
      <c r="M88"/>
    </row>
    <row r="89" spans="1:13" ht="15">
      <c r="A89"/>
      <c r="B89"/>
      <c r="C89"/>
      <c r="D89"/>
      <c r="E89"/>
      <c r="F89"/>
      <c r="G89"/>
      <c r="H89"/>
      <c r="I89"/>
      <c r="J89"/>
      <c r="K89"/>
      <c r="L89"/>
      <c r="M89"/>
    </row>
    <row r="90" spans="1:13" ht="15">
      <c r="A90"/>
      <c r="B90"/>
      <c r="C90"/>
      <c r="D90"/>
      <c r="E90"/>
      <c r="F90"/>
      <c r="G90"/>
      <c r="H90"/>
      <c r="I90"/>
      <c r="J90"/>
      <c r="K90"/>
      <c r="L90"/>
      <c r="M90"/>
    </row>
    <row r="91" spans="1:13" ht="15">
      <c r="A91"/>
      <c r="B91"/>
      <c r="C91"/>
      <c r="D91"/>
      <c r="E91"/>
      <c r="F91"/>
      <c r="G91"/>
      <c r="H91"/>
      <c r="I91"/>
      <c r="J91"/>
      <c r="K91"/>
      <c r="L91"/>
      <c r="M91"/>
    </row>
    <row r="92" spans="1:13" ht="15">
      <c r="A92"/>
      <c r="B92"/>
      <c r="C92"/>
      <c r="D92"/>
      <c r="E92"/>
      <c r="F92"/>
      <c r="G92"/>
      <c r="H92"/>
      <c r="I92"/>
      <c r="J92"/>
      <c r="K92"/>
      <c r="L92"/>
      <c r="M92"/>
    </row>
    <row r="93" spans="1:13" ht="15">
      <c r="A93"/>
      <c r="B93"/>
      <c r="C93"/>
      <c r="D93"/>
      <c r="E93"/>
      <c r="F93"/>
      <c r="G93"/>
      <c r="H93"/>
      <c r="I93"/>
      <c r="J93"/>
      <c r="K93"/>
      <c r="L93"/>
      <c r="M93"/>
    </row>
    <row r="94" spans="1:13" ht="15">
      <c r="A94"/>
      <c r="B94"/>
      <c r="C94"/>
      <c r="D94"/>
      <c r="E94"/>
      <c r="F94"/>
      <c r="G94"/>
      <c r="H94"/>
      <c r="I94"/>
      <c r="J94"/>
      <c r="K94"/>
      <c r="L94"/>
      <c r="M94"/>
    </row>
    <row r="95" spans="2:7" ht="15">
      <c r="B95"/>
      <c r="C95"/>
      <c r="D95"/>
      <c r="E95"/>
      <c r="F95"/>
      <c r="G95"/>
    </row>
    <row r="96" spans="2:7" ht="12.75">
      <c r="B96" s="105" t="s">
        <v>22</v>
      </c>
      <c r="G96" s="105" t="s">
        <v>23</v>
      </c>
    </row>
    <row r="97" spans="2:7" ht="12.75">
      <c r="B97" s="106"/>
      <c r="C97" s="107" t="s">
        <v>74</v>
      </c>
      <c r="D97" s="107" t="s">
        <v>20</v>
      </c>
      <c r="E97" s="107" t="s">
        <v>21</v>
      </c>
      <c r="G97" s="106"/>
    </row>
    <row r="98" spans="2:7" ht="15">
      <c r="B98" s="75" t="s">
        <v>41</v>
      </c>
      <c r="C98" s="99">
        <f aca="true" t="shared" si="21" ref="C98:C115">E77</f>
        <v>0</v>
      </c>
      <c r="D98" s="104">
        <f aca="true" t="shared" si="22" ref="D98:D115">G77</f>
        <v>0</v>
      </c>
      <c r="E98" s="108">
        <f aca="true" t="shared" si="23" ref="E98:E115">I56</f>
        <v>0</v>
      </c>
      <c r="G98" s="75" t="s">
        <v>41</v>
      </c>
    </row>
    <row r="99" spans="2:7" ht="15">
      <c r="B99" s="75" t="s">
        <v>42</v>
      </c>
      <c r="C99" s="99">
        <f t="shared" si="21"/>
        <v>0</v>
      </c>
      <c r="D99" s="104">
        <f t="shared" si="22"/>
        <v>0</v>
      </c>
      <c r="E99" s="63">
        <f t="shared" si="23"/>
        <v>0</v>
      </c>
      <c r="G99" s="75" t="s">
        <v>42</v>
      </c>
    </row>
    <row r="100" spans="2:7" ht="15">
      <c r="B100" s="75" t="s">
        <v>43</v>
      </c>
      <c r="C100" s="99">
        <f t="shared" si="21"/>
        <v>0</v>
      </c>
      <c r="D100" s="104">
        <f t="shared" si="22"/>
        <v>0</v>
      </c>
      <c r="E100" s="63">
        <f t="shared" si="23"/>
        <v>0</v>
      </c>
      <c r="G100" s="75" t="s">
        <v>43</v>
      </c>
    </row>
    <row r="101" spans="2:7" ht="15">
      <c r="B101" s="75" t="s">
        <v>45</v>
      </c>
      <c r="C101" s="99">
        <f t="shared" si="21"/>
        <v>0</v>
      </c>
      <c r="D101" s="104">
        <f t="shared" si="22"/>
        <v>0</v>
      </c>
      <c r="E101" s="63">
        <f t="shared" si="23"/>
        <v>0</v>
      </c>
      <c r="G101" s="75" t="s">
        <v>45</v>
      </c>
    </row>
    <row r="102" spans="2:7" ht="15">
      <c r="B102" s="75" t="s">
        <v>46</v>
      </c>
      <c r="C102" s="99">
        <f t="shared" si="21"/>
        <v>0</v>
      </c>
      <c r="D102" s="104">
        <f t="shared" si="22"/>
        <v>0</v>
      </c>
      <c r="E102" s="63">
        <f t="shared" si="23"/>
        <v>0</v>
      </c>
      <c r="G102" s="75" t="s">
        <v>46</v>
      </c>
    </row>
    <row r="103" spans="2:7" ht="15">
      <c r="B103" s="75" t="s">
        <v>48</v>
      </c>
      <c r="C103" s="99">
        <f t="shared" si="21"/>
        <v>0</v>
      </c>
      <c r="D103" s="104">
        <f t="shared" si="22"/>
        <v>0</v>
      </c>
      <c r="E103" s="63">
        <f t="shared" si="23"/>
        <v>0</v>
      </c>
      <c r="G103" s="75" t="s">
        <v>48</v>
      </c>
    </row>
    <row r="104" spans="2:7" ht="15">
      <c r="B104" s="75" t="s">
        <v>51</v>
      </c>
      <c r="C104" s="99">
        <f t="shared" si="21"/>
        <v>0</v>
      </c>
      <c r="D104" s="104">
        <f t="shared" si="22"/>
        <v>0</v>
      </c>
      <c r="E104" s="63">
        <f t="shared" si="23"/>
        <v>0</v>
      </c>
      <c r="G104" s="75" t="s">
        <v>51</v>
      </c>
    </row>
    <row r="105" spans="2:7" ht="15">
      <c r="B105" s="75" t="s">
        <v>52</v>
      </c>
      <c r="C105" s="99">
        <f t="shared" si="21"/>
        <v>0</v>
      </c>
      <c r="D105" s="104">
        <f t="shared" si="22"/>
        <v>0</v>
      </c>
      <c r="E105" s="63">
        <f t="shared" si="23"/>
        <v>0</v>
      </c>
      <c r="G105" s="75" t="s">
        <v>52</v>
      </c>
    </row>
    <row r="106" spans="2:7" ht="15">
      <c r="B106" s="75" t="s">
        <v>53</v>
      </c>
      <c r="C106" s="99">
        <f t="shared" si="21"/>
        <v>0</v>
      </c>
      <c r="D106" s="104">
        <f t="shared" si="22"/>
        <v>0</v>
      </c>
      <c r="E106" s="63">
        <f t="shared" si="23"/>
        <v>0</v>
      </c>
      <c r="G106" s="75" t="s">
        <v>53</v>
      </c>
    </row>
    <row r="107" spans="2:7" ht="15">
      <c r="B107" s="75" t="s">
        <v>54</v>
      </c>
      <c r="C107" s="99">
        <f t="shared" si="21"/>
        <v>0</v>
      </c>
      <c r="D107" s="104">
        <f t="shared" si="22"/>
        <v>0</v>
      </c>
      <c r="E107" s="63">
        <f t="shared" si="23"/>
        <v>0</v>
      </c>
      <c r="G107" s="75" t="s">
        <v>54</v>
      </c>
    </row>
    <row r="108" spans="2:7" ht="15">
      <c r="B108" s="75" t="s">
        <v>55</v>
      </c>
      <c r="C108" s="99">
        <f t="shared" si="21"/>
        <v>0</v>
      </c>
      <c r="D108" s="104">
        <f t="shared" si="22"/>
        <v>0</v>
      </c>
      <c r="E108" s="63">
        <f t="shared" si="23"/>
        <v>0</v>
      </c>
      <c r="G108" s="75" t="s">
        <v>55</v>
      </c>
    </row>
    <row r="109" spans="2:7" ht="15">
      <c r="B109" s="75" t="s">
        <v>56</v>
      </c>
      <c r="C109" s="99">
        <f t="shared" si="21"/>
        <v>0</v>
      </c>
      <c r="D109" s="104">
        <f t="shared" si="22"/>
        <v>0</v>
      </c>
      <c r="E109" s="63">
        <f t="shared" si="23"/>
        <v>0</v>
      </c>
      <c r="G109" s="75" t="s">
        <v>56</v>
      </c>
    </row>
    <row r="110" spans="2:7" ht="15">
      <c r="B110" s="75" t="s">
        <v>58</v>
      </c>
      <c r="C110" s="99">
        <f t="shared" si="21"/>
        <v>0</v>
      </c>
      <c r="D110" s="104">
        <f t="shared" si="22"/>
        <v>0</v>
      </c>
      <c r="E110" s="63">
        <f t="shared" si="23"/>
        <v>0</v>
      </c>
      <c r="G110" s="75" t="s">
        <v>58</v>
      </c>
    </row>
    <row r="111" spans="2:7" ht="15">
      <c r="B111" s="75" t="s">
        <v>59</v>
      </c>
      <c r="C111" s="99">
        <f t="shared" si="21"/>
        <v>0</v>
      </c>
      <c r="D111" s="104">
        <f t="shared" si="22"/>
        <v>0</v>
      </c>
      <c r="E111" s="63">
        <f t="shared" si="23"/>
        <v>0</v>
      </c>
      <c r="G111" s="75" t="s">
        <v>59</v>
      </c>
    </row>
    <row r="112" spans="2:7" ht="15">
      <c r="B112" s="75" t="s">
        <v>60</v>
      </c>
      <c r="C112" s="99">
        <f t="shared" si="21"/>
        <v>0</v>
      </c>
      <c r="D112" s="104">
        <f t="shared" si="22"/>
        <v>0</v>
      </c>
      <c r="E112" s="63">
        <f t="shared" si="23"/>
        <v>0</v>
      </c>
      <c r="G112" s="75" t="s">
        <v>60</v>
      </c>
    </row>
    <row r="113" spans="2:7" ht="15">
      <c r="B113" s="75" t="s">
        <v>61</v>
      </c>
      <c r="C113" s="99">
        <f t="shared" si="21"/>
        <v>0</v>
      </c>
      <c r="D113" s="104">
        <f t="shared" si="22"/>
        <v>0</v>
      </c>
      <c r="E113" s="63">
        <f t="shared" si="23"/>
        <v>0</v>
      </c>
      <c r="G113" s="75" t="s">
        <v>61</v>
      </c>
    </row>
    <row r="114" spans="2:7" ht="15">
      <c r="B114" s="75" t="s">
        <v>62</v>
      </c>
      <c r="C114" s="99">
        <f t="shared" si="21"/>
        <v>0</v>
      </c>
      <c r="D114" s="104">
        <f t="shared" si="22"/>
        <v>0</v>
      </c>
      <c r="E114" s="63">
        <f t="shared" si="23"/>
        <v>0</v>
      </c>
      <c r="G114" s="75" t="s">
        <v>62</v>
      </c>
    </row>
    <row r="115" spans="2:7" ht="15">
      <c r="B115" s="78" t="s">
        <v>63</v>
      </c>
      <c r="C115" s="100">
        <f t="shared" si="21"/>
        <v>0</v>
      </c>
      <c r="D115" s="80">
        <f t="shared" si="22"/>
        <v>0</v>
      </c>
      <c r="E115" s="65">
        <f t="shared" si="23"/>
        <v>0</v>
      </c>
      <c r="G115" s="78" t="s">
        <v>63</v>
      </c>
    </row>
  </sheetData>
  <sheetProtection/>
  <mergeCells count="11">
    <mergeCell ref="O30:R30"/>
    <mergeCell ref="A6:K6"/>
    <mergeCell ref="B29:R29"/>
    <mergeCell ref="C7:E7"/>
    <mergeCell ref="F7:H7"/>
    <mergeCell ref="I7:K7"/>
    <mergeCell ref="K30:N30"/>
    <mergeCell ref="B51:G51"/>
    <mergeCell ref="C52:G52"/>
    <mergeCell ref="C30:F30"/>
    <mergeCell ref="G30:J30"/>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U111"/>
  <sheetViews>
    <sheetView tabSelected="1" zoomScale="70" zoomScaleNormal="70" zoomScalePageLayoutView="0" workbookViewId="0" topLeftCell="A1">
      <pane xSplit="3" ySplit="4" topLeftCell="D5" activePane="bottomRight" state="frozen"/>
      <selection pane="topLeft" activeCell="A1" sqref="A1"/>
      <selection pane="topRight" activeCell="C1" sqref="C1"/>
      <selection pane="bottomLeft" activeCell="A4" sqref="A4"/>
      <selection pane="bottomRight" activeCell="A97" sqref="A97"/>
    </sheetView>
  </sheetViews>
  <sheetFormatPr defaultColWidth="9.140625" defaultRowHeight="15"/>
  <cols>
    <col min="1" max="1" width="30.7109375" style="4" customWidth="1"/>
    <col min="2" max="2" width="24.28125" style="4" customWidth="1"/>
    <col min="3" max="3" width="10.7109375" style="0" customWidth="1"/>
    <col min="4" max="10" width="10.7109375" style="4" customWidth="1"/>
    <col min="11" max="11" width="10.7109375" style="27" customWidth="1"/>
    <col min="12" max="12" width="10.7109375" style="39" customWidth="1"/>
    <col min="13" max="18" width="10.7109375" style="4" customWidth="1"/>
    <col min="19" max="19" width="10.7109375" style="39" customWidth="1"/>
    <col min="20" max="21" width="10.7109375" style="4" customWidth="1"/>
    <col min="22" max="22" width="10.7109375" style="0" customWidth="1"/>
    <col min="23" max="23" width="13.140625" style="0" customWidth="1"/>
    <col min="24" max="24" width="10.7109375" style="0" customWidth="1"/>
    <col min="25" max="25" width="3.8515625" style="0" customWidth="1"/>
    <col min="26" max="29" width="12.00390625" style="0" customWidth="1"/>
    <col min="30" max="30" width="10.28125" style="0" customWidth="1"/>
    <col min="31" max="31" width="9.57421875" style="0" customWidth="1"/>
    <col min="32" max="33" width="11.7109375" style="0" customWidth="1"/>
    <col min="39" max="16384" width="9.140625" style="4" customWidth="1"/>
  </cols>
  <sheetData>
    <row r="1" spans="1:21" ht="15">
      <c r="A1" s="4" t="s">
        <v>184</v>
      </c>
      <c r="C1" s="109"/>
      <c r="D1" s="40"/>
      <c r="E1" s="40"/>
      <c r="F1" s="40"/>
      <c r="G1" s="40"/>
      <c r="H1" s="40"/>
      <c r="I1" s="40"/>
      <c r="J1" s="40"/>
      <c r="K1" s="43"/>
      <c r="L1" s="40"/>
      <c r="M1" s="40"/>
      <c r="N1" s="40"/>
      <c r="O1" s="40"/>
      <c r="P1" s="40"/>
      <c r="Q1" s="40"/>
      <c r="R1" s="40"/>
      <c r="S1" s="40"/>
      <c r="T1" s="40"/>
      <c r="U1" s="40"/>
    </row>
    <row r="2" spans="1:21" ht="15">
      <c r="A2" s="4" t="s">
        <v>30</v>
      </c>
      <c r="C2" s="109"/>
      <c r="D2" s="40"/>
      <c r="E2" s="40"/>
      <c r="F2" s="40"/>
      <c r="G2" s="40"/>
      <c r="H2" s="40"/>
      <c r="I2" s="40"/>
      <c r="J2" s="40"/>
      <c r="K2" s="43"/>
      <c r="L2" s="40"/>
      <c r="M2" s="40"/>
      <c r="N2" s="40"/>
      <c r="O2" s="40"/>
      <c r="P2" s="40"/>
      <c r="Q2" s="40"/>
      <c r="R2" s="40"/>
      <c r="S2" s="40"/>
      <c r="T2" s="40"/>
      <c r="U2" s="40"/>
    </row>
    <row r="3" spans="3:21" ht="51">
      <c r="C3" s="5" t="s">
        <v>119</v>
      </c>
      <c r="D3" s="5" t="s">
        <v>163</v>
      </c>
      <c r="E3" s="5" t="s">
        <v>163</v>
      </c>
      <c r="F3" s="5" t="s">
        <v>171</v>
      </c>
      <c r="G3" s="5" t="s">
        <v>170</v>
      </c>
      <c r="H3" s="5" t="s">
        <v>174</v>
      </c>
      <c r="I3" s="5" t="s">
        <v>176</v>
      </c>
      <c r="J3" s="5" t="s">
        <v>102</v>
      </c>
      <c r="K3" s="35" t="s">
        <v>8</v>
      </c>
      <c r="L3" s="118" t="s">
        <v>172</v>
      </c>
      <c r="M3" s="5" t="s">
        <v>196</v>
      </c>
      <c r="N3" s="5" t="s">
        <v>188</v>
      </c>
      <c r="O3" s="5" t="s">
        <v>189</v>
      </c>
      <c r="P3" s="5" t="s">
        <v>190</v>
      </c>
      <c r="Q3" s="5" t="s">
        <v>197</v>
      </c>
      <c r="R3" s="5" t="s">
        <v>185</v>
      </c>
      <c r="S3" s="118" t="s">
        <v>201</v>
      </c>
      <c r="T3" s="5" t="s">
        <v>173</v>
      </c>
      <c r="U3" s="5"/>
    </row>
    <row r="4" spans="2:21" ht="13.5" customHeight="1">
      <c r="B4" s="4" t="s">
        <v>142</v>
      </c>
      <c r="D4" s="6" t="s">
        <v>194</v>
      </c>
      <c r="E4" s="5" t="s">
        <v>195</v>
      </c>
      <c r="F4" s="5" t="s">
        <v>220</v>
      </c>
      <c r="G4" s="5" t="s">
        <v>220</v>
      </c>
      <c r="H4" s="5" t="s">
        <v>195</v>
      </c>
      <c r="I4" s="5" t="s">
        <v>220</v>
      </c>
      <c r="J4" s="5" t="s">
        <v>195</v>
      </c>
      <c r="K4" s="35" t="s">
        <v>220</v>
      </c>
      <c r="L4" s="118" t="s">
        <v>220</v>
      </c>
      <c r="M4" s="5" t="s">
        <v>193</v>
      </c>
      <c r="N4" s="5" t="s">
        <v>191</v>
      </c>
      <c r="O4" s="5" t="s">
        <v>192</v>
      </c>
      <c r="P4" s="5" t="s">
        <v>193</v>
      </c>
      <c r="Q4" s="5" t="s">
        <v>192</v>
      </c>
      <c r="R4" s="5" t="s">
        <v>220</v>
      </c>
      <c r="S4" s="118" t="s">
        <v>220</v>
      </c>
      <c r="T4" s="5" t="s">
        <v>220</v>
      </c>
      <c r="U4" s="5"/>
    </row>
    <row r="5" spans="4:21" ht="13.5" customHeight="1">
      <c r="D5" s="6"/>
      <c r="E5" s="5"/>
      <c r="F5" s="5"/>
      <c r="G5" s="5"/>
      <c r="H5" s="5"/>
      <c r="I5" s="5"/>
      <c r="J5" s="5"/>
      <c r="K5" s="35"/>
      <c r="L5" s="118"/>
      <c r="M5" s="34"/>
      <c r="N5" s="34"/>
      <c r="O5" s="35"/>
      <c r="P5" s="34"/>
      <c r="Q5" s="5"/>
      <c r="R5" s="5"/>
      <c r="S5" s="118"/>
      <c r="T5" s="5"/>
      <c r="U5" s="5"/>
    </row>
    <row r="6" spans="1:21" ht="13.5" customHeight="1">
      <c r="A6" s="4" t="s">
        <v>155</v>
      </c>
      <c r="B6" s="4" t="s">
        <v>86</v>
      </c>
      <c r="C6" s="38" t="s">
        <v>120</v>
      </c>
      <c r="D6" s="29">
        <v>-0.5059999999999985</v>
      </c>
      <c r="E6" s="16">
        <f>D6/$D$11</f>
        <v>0.250024705998616</v>
      </c>
      <c r="F6" s="23">
        <v>160</v>
      </c>
      <c r="G6" s="35">
        <v>134</v>
      </c>
      <c r="H6" s="129">
        <v>0.25</v>
      </c>
      <c r="I6" s="8">
        <f>G6*H6</f>
        <v>33.5</v>
      </c>
      <c r="J6" s="44">
        <f>UnspecifiedFactor</f>
        <v>0.9</v>
      </c>
      <c r="K6" s="87">
        <f aca="true" t="shared" si="0" ref="K6:K11">F6*J6</f>
        <v>144</v>
      </c>
      <c r="L6" s="119">
        <f>I6+K6</f>
        <v>177.5</v>
      </c>
      <c r="M6" s="23">
        <v>71.92659999999997</v>
      </c>
      <c r="N6" s="23">
        <v>-137.45843000000002</v>
      </c>
      <c r="O6" s="14">
        <f>-N6/M6</f>
        <v>1.9110931143693721</v>
      </c>
      <c r="P6" s="23">
        <v>65.9831</v>
      </c>
      <c r="Q6" s="14">
        <f>-N6/P6</f>
        <v>2.083236919756726</v>
      </c>
      <c r="R6" s="17">
        <f>O6*ExistingForestUptakeDuration</f>
        <v>57.332793431081164</v>
      </c>
      <c r="S6" s="120">
        <f>Q6*RegrowingForestUptakeDuration</f>
        <v>62.49710759270179</v>
      </c>
      <c r="T6" s="20">
        <f>I6*RegainedSoilC+S6</f>
        <v>87.62210759270178</v>
      </c>
      <c r="U6" s="20"/>
    </row>
    <row r="7" spans="1:21" ht="13.5" customHeight="1">
      <c r="A7" s="4" t="s">
        <v>155</v>
      </c>
      <c r="B7" s="4" t="s">
        <v>93</v>
      </c>
      <c r="C7" s="38" t="s">
        <v>120</v>
      </c>
      <c r="D7" s="29">
        <v>-0.5059999999999985</v>
      </c>
      <c r="E7" s="16">
        <f>D7/$D$11</f>
        <v>0.250024705998616</v>
      </c>
      <c r="F7" s="23">
        <v>120</v>
      </c>
      <c r="G7" s="35">
        <v>134</v>
      </c>
      <c r="H7" s="129">
        <v>0.25</v>
      </c>
      <c r="I7" s="8">
        <f>G7*H7</f>
        <v>33.5</v>
      </c>
      <c r="J7" s="44">
        <f>UnspecifiedFactor</f>
        <v>0.9</v>
      </c>
      <c r="K7" s="87">
        <f t="shared" si="0"/>
        <v>108</v>
      </c>
      <c r="L7" s="119">
        <f>I7+K7</f>
        <v>141.5</v>
      </c>
      <c r="M7" s="23">
        <v>55.50599999999996</v>
      </c>
      <c r="N7" s="23">
        <v>-80.00914</v>
      </c>
      <c r="O7" s="14">
        <f>-N7/M7</f>
        <v>1.4414502936619475</v>
      </c>
      <c r="P7" s="23">
        <v>43.1965</v>
      </c>
      <c r="Q7" s="14">
        <f>-N7/P7</f>
        <v>1.8522134895188267</v>
      </c>
      <c r="R7" s="17">
        <f>O7*ExistingForestUptakeDuration</f>
        <v>43.243508809858426</v>
      </c>
      <c r="S7" s="120">
        <f>Q7*RegrowingForestUptakeDuration</f>
        <v>55.5664046855648</v>
      </c>
      <c r="T7" s="20">
        <f>I7*RegainedSoilC+S7</f>
        <v>80.6914046855648</v>
      </c>
      <c r="U7" s="20"/>
    </row>
    <row r="8" spans="1:21" ht="13.5" customHeight="1">
      <c r="A8" s="4" t="s">
        <v>155</v>
      </c>
      <c r="B8" s="4" t="s">
        <v>88</v>
      </c>
      <c r="C8" s="38" t="s">
        <v>120</v>
      </c>
      <c r="D8" s="29">
        <v>-0.5060000000000002</v>
      </c>
      <c r="E8" s="16">
        <f>D8/$D$11</f>
        <v>0.25002470599861687</v>
      </c>
      <c r="F8" s="23">
        <v>90</v>
      </c>
      <c r="G8" s="35">
        <v>206</v>
      </c>
      <c r="H8" s="129">
        <v>0.25</v>
      </c>
      <c r="I8" s="8">
        <f>G8*H8</f>
        <v>51.5</v>
      </c>
      <c r="J8" s="44">
        <f>UnspecifiedFactor</f>
        <v>0.9</v>
      </c>
      <c r="K8" s="87">
        <f t="shared" si="0"/>
        <v>81</v>
      </c>
      <c r="L8" s="119">
        <f>I8+K8</f>
        <v>132.5</v>
      </c>
      <c r="M8" s="23">
        <v>27.47679999999995</v>
      </c>
      <c r="N8" s="23">
        <v>-33.06018</v>
      </c>
      <c r="O8" s="14">
        <f>-N8/M8</f>
        <v>1.2032034298025993</v>
      </c>
      <c r="P8" s="23">
        <v>27.2488</v>
      </c>
      <c r="Q8" s="14">
        <f>-N8/P8</f>
        <v>1.213271043128505</v>
      </c>
      <c r="R8" s="17">
        <f>O8*ExistingForestUptakeDuration</f>
        <v>36.09610289407798</v>
      </c>
      <c r="S8" s="120">
        <f>Q8*RegrowingForestUptakeDuration</f>
        <v>36.39813129385515</v>
      </c>
      <c r="T8" s="20">
        <f>I8*RegainedSoilC+S8</f>
        <v>75.02313129385516</v>
      </c>
      <c r="U8" s="20"/>
    </row>
    <row r="9" spans="1:21" ht="13.5" customHeight="1">
      <c r="A9" s="4" t="s">
        <v>155</v>
      </c>
      <c r="B9" s="4" t="s">
        <v>98</v>
      </c>
      <c r="C9" s="38" t="s">
        <v>120</v>
      </c>
      <c r="D9" s="29">
        <v>0</v>
      </c>
      <c r="E9" s="16">
        <f>D9/$D$11</f>
        <v>0</v>
      </c>
      <c r="F9" s="23">
        <v>27</v>
      </c>
      <c r="G9" s="35">
        <v>69</v>
      </c>
      <c r="H9" s="129">
        <v>0.25</v>
      </c>
      <c r="I9" s="8">
        <f>G9*H9</f>
        <v>17.25</v>
      </c>
      <c r="J9" s="44">
        <f>UnspecifiedFactor</f>
        <v>0.9</v>
      </c>
      <c r="K9" s="87">
        <f t="shared" si="0"/>
        <v>24.3</v>
      </c>
      <c r="L9" s="119">
        <f>I9+K9</f>
        <v>41.55</v>
      </c>
      <c r="M9" s="23">
        <v>45</v>
      </c>
      <c r="N9" s="17">
        <v>0</v>
      </c>
      <c r="O9" s="14">
        <f>-N9/M9</f>
        <v>0</v>
      </c>
      <c r="P9" s="17" t="s">
        <v>183</v>
      </c>
      <c r="Q9" s="25">
        <v>0</v>
      </c>
      <c r="R9" s="17">
        <f>O9*ExistingForestUptakeDuration</f>
        <v>0</v>
      </c>
      <c r="S9" s="120">
        <f>Q9*RegrowingForestUptakeDuration</f>
        <v>0</v>
      </c>
      <c r="T9" s="20">
        <f>I9*RegainedSoilC+S9</f>
        <v>12.9375</v>
      </c>
      <c r="U9" s="20"/>
    </row>
    <row r="10" spans="1:21" ht="13.5" customHeight="1">
      <c r="A10" s="4" t="s">
        <v>155</v>
      </c>
      <c r="B10" s="4" t="s">
        <v>87</v>
      </c>
      <c r="C10" s="38" t="s">
        <v>121</v>
      </c>
      <c r="D10" s="29">
        <v>-0.5058000000000007</v>
      </c>
      <c r="E10" s="16">
        <f>D10/$D$11</f>
        <v>0.24992588200415122</v>
      </c>
      <c r="F10" s="23">
        <v>7</v>
      </c>
      <c r="G10" s="35">
        <v>189</v>
      </c>
      <c r="H10" s="129">
        <v>0.25</v>
      </c>
      <c r="I10" s="8">
        <f>G10*H10</f>
        <v>47.25</v>
      </c>
      <c r="J10" s="44">
        <f>UnspecifiedFactor</f>
        <v>0.9</v>
      </c>
      <c r="K10" s="87">
        <f t="shared" si="0"/>
        <v>6.3</v>
      </c>
      <c r="L10" s="119">
        <f>I10+K10</f>
        <v>53.55</v>
      </c>
      <c r="M10" s="23">
        <v>26.66720000000001</v>
      </c>
      <c r="N10" s="17">
        <v>0</v>
      </c>
      <c r="O10" s="14">
        <f>-N10/M10</f>
        <v>0</v>
      </c>
      <c r="P10" s="17" t="s">
        <v>183</v>
      </c>
      <c r="Q10" s="25">
        <v>0</v>
      </c>
      <c r="R10" s="17"/>
      <c r="S10" s="135">
        <v>7</v>
      </c>
      <c r="T10" s="20">
        <f>I10*RegainedSoilC+S10</f>
        <v>42.4375</v>
      </c>
      <c r="U10" s="20"/>
    </row>
    <row r="11" spans="2:21" ht="13.5" customHeight="1">
      <c r="B11" s="4" t="s">
        <v>186</v>
      </c>
      <c r="C11" s="38"/>
      <c r="D11" s="14">
        <f>SUM(D6:D10)</f>
        <v>-2.023799999999998</v>
      </c>
      <c r="E11" s="15">
        <f>SUM(E6:E10)</f>
        <v>1</v>
      </c>
      <c r="F11" s="17">
        <f>SUMPRODUCT($E6:$E10,F6:F10)</f>
        <v>94.25862239351706</v>
      </c>
      <c r="G11" s="5"/>
      <c r="H11" s="5"/>
      <c r="I11" s="17">
        <f>SUMPRODUCT($E6:$E10,I6:I10)</f>
        <v>41.43692558553219</v>
      </c>
      <c r="J11" s="45"/>
      <c r="K11" s="87">
        <f t="shared" si="0"/>
        <v>0</v>
      </c>
      <c r="L11" s="120">
        <f>SUMPRODUCT($E6:$E10,L6:L10)</f>
        <v>126.26968573969754</v>
      </c>
      <c r="M11" s="5"/>
      <c r="N11" s="5"/>
      <c r="O11" s="25"/>
      <c r="P11" s="5"/>
      <c r="Q11" s="25"/>
      <c r="R11" s="17">
        <f>SUMPRODUCT($E6:$E10,R6:R10)</f>
        <v>34.17147791200654</v>
      </c>
      <c r="S11" s="120">
        <f>SUMPRODUCT($E6:$E10,S6:S10)</f>
        <v>40.36870819621184</v>
      </c>
      <c r="T11" s="20">
        <f>SUMPRODUCT(E6:E10,T6:T10)</f>
        <v>71.44640238536098</v>
      </c>
      <c r="U11" s="20"/>
    </row>
    <row r="12" spans="2:21" ht="13.5" customHeight="1">
      <c r="B12" s="4" t="s">
        <v>112</v>
      </c>
      <c r="C12" s="38"/>
      <c r="D12" s="14" t="s">
        <v>114</v>
      </c>
      <c r="E12" s="52">
        <f>SUM(D6:D9)/$D$93</f>
        <v>-0.0198654436812054</v>
      </c>
      <c r="F12" s="17">
        <f>SUMPRODUCT($E6:$E9,K6:K9)/SUM($E6:$E9)</f>
        <v>110.99999999999997</v>
      </c>
      <c r="G12" s="17"/>
      <c r="H12" s="17"/>
      <c r="I12" s="17">
        <f>SUMPRODUCT($E6:$E9,I6:I9)/SUM($E6:$E9)</f>
        <v>39.500000000000014</v>
      </c>
      <c r="J12" s="45"/>
      <c r="K12" s="88"/>
      <c r="L12" s="120"/>
      <c r="M12" s="5"/>
      <c r="N12" s="5"/>
      <c r="O12" s="17">
        <f>SUMPRODUCT($E6:$E9,O6:O9)/SUM($E6:$E9)</f>
        <v>1.5185822792779728</v>
      </c>
      <c r="P12" s="17">
        <f>SUMPRODUCT($E6:$E9,P6:P9)</f>
        <v>34.11047059986161</v>
      </c>
      <c r="Q12" s="25">
        <f>SUMPRODUCT($E6:$E9,Q6:Q9)/SUM($E6:$E9)</f>
        <v>1.7162404841346852</v>
      </c>
      <c r="R12" s="17"/>
      <c r="S12" s="120">
        <f>SUMPRODUCT($E6:$E9,S6:S9)</f>
        <v>38.619227022182784</v>
      </c>
      <c r="T12" s="20"/>
      <c r="U12" s="20"/>
    </row>
    <row r="13" spans="2:21" ht="13.5" customHeight="1">
      <c r="B13" s="4" t="s">
        <v>113</v>
      </c>
      <c r="C13" s="38"/>
      <c r="D13" s="14" t="s">
        <v>114</v>
      </c>
      <c r="E13" s="52">
        <f>D10/$D$93</f>
        <v>-0.006619197242393758</v>
      </c>
      <c r="F13" s="17">
        <f>SUMPRODUCT($E10,K10)/SUM($E10)</f>
        <v>6.3</v>
      </c>
      <c r="G13" s="17"/>
      <c r="H13" s="17"/>
      <c r="I13" s="17">
        <f>SUMPRODUCT($E10,I10)/SUM($E10)</f>
        <v>47.25</v>
      </c>
      <c r="J13" s="45"/>
      <c r="K13" s="88"/>
      <c r="L13" s="120"/>
      <c r="M13" s="5"/>
      <c r="N13" s="5"/>
      <c r="O13" s="25"/>
      <c r="P13" s="17"/>
      <c r="Q13" s="17"/>
      <c r="R13" s="17"/>
      <c r="S13" s="120"/>
      <c r="T13" s="20"/>
      <c r="U13" s="20"/>
    </row>
    <row r="14" spans="3:21" ht="15">
      <c r="C14" s="38"/>
      <c r="D14" s="14"/>
      <c r="E14" s="5"/>
      <c r="F14" s="5"/>
      <c r="G14" s="5"/>
      <c r="H14" s="5"/>
      <c r="I14" s="17"/>
      <c r="J14" s="45"/>
      <c r="K14" s="88"/>
      <c r="L14" s="120"/>
      <c r="M14" s="17"/>
      <c r="N14" s="17"/>
      <c r="O14" s="25"/>
      <c r="P14" s="17"/>
      <c r="Q14" s="25"/>
      <c r="R14" s="17"/>
      <c r="S14" s="120"/>
      <c r="T14" s="17"/>
      <c r="U14" s="17"/>
    </row>
    <row r="15" spans="1:21" ht="15">
      <c r="A15" s="4" t="s">
        <v>164</v>
      </c>
      <c r="B15" s="4" t="s">
        <v>86</v>
      </c>
      <c r="C15" s="38" t="s">
        <v>120</v>
      </c>
      <c r="D15" s="28">
        <v>0</v>
      </c>
      <c r="E15" s="19">
        <f>D15/D$20</f>
        <v>0</v>
      </c>
      <c r="F15" s="91">
        <v>160</v>
      </c>
      <c r="G15" s="10">
        <v>134</v>
      </c>
      <c r="H15" s="24">
        <v>0.25</v>
      </c>
      <c r="I15" s="8">
        <f>G15*H15</f>
        <v>33.5</v>
      </c>
      <c r="J15" s="44">
        <f>UnspecifiedFactor</f>
        <v>0.9</v>
      </c>
      <c r="K15" s="87">
        <f>F15*J15</f>
        <v>144</v>
      </c>
      <c r="L15" s="119">
        <f>I15+K15</f>
        <v>177.5</v>
      </c>
      <c r="M15" s="23">
        <v>13.99990000000003</v>
      </c>
      <c r="N15" s="23">
        <v>-33.327709999999996</v>
      </c>
      <c r="O15" s="14">
        <f>-N15/M15</f>
        <v>2.38056771834084</v>
      </c>
      <c r="P15" s="23">
        <v>13.9108</v>
      </c>
      <c r="Q15" s="14">
        <f>-N15/P15</f>
        <v>2.395815481496391</v>
      </c>
      <c r="R15" s="20">
        <f>O15*ExistingForestUptakeDuration</f>
        <v>71.41703155022519</v>
      </c>
      <c r="S15" s="119"/>
      <c r="T15" s="20">
        <f>L15+R15</f>
        <v>248.9170315502252</v>
      </c>
      <c r="U15" s="20"/>
    </row>
    <row r="16" spans="1:21" ht="15">
      <c r="A16" s="4" t="s">
        <v>164</v>
      </c>
      <c r="B16" s="4" t="s">
        <v>93</v>
      </c>
      <c r="C16" s="38" t="s">
        <v>120</v>
      </c>
      <c r="D16" s="28">
        <v>0</v>
      </c>
      <c r="E16" s="19">
        <f>D16/D$20</f>
        <v>0</v>
      </c>
      <c r="F16" s="91">
        <v>135</v>
      </c>
      <c r="G16" s="10">
        <v>134</v>
      </c>
      <c r="H16" s="24">
        <v>0.25</v>
      </c>
      <c r="I16" s="8">
        <f>G16*H16</f>
        <v>33.5</v>
      </c>
      <c r="J16" s="44">
        <f>UnspecifiedFactor</f>
        <v>0.9</v>
      </c>
      <c r="K16" s="87">
        <f>F16*J16</f>
        <v>121.5</v>
      </c>
      <c r="L16" s="119">
        <f>I16+K16</f>
        <v>155</v>
      </c>
      <c r="M16" s="23">
        <v>14.000300000000008</v>
      </c>
      <c r="N16" s="23">
        <v>-26.467309999999998</v>
      </c>
      <c r="O16" s="14">
        <f>-N16/M16</f>
        <v>1.8904816325364444</v>
      </c>
      <c r="P16" s="23">
        <v>13.2535</v>
      </c>
      <c r="Q16" s="14">
        <f>-N16/P16</f>
        <v>1.9970053193496056</v>
      </c>
      <c r="R16" s="20">
        <f>O16*ExistingForestUptakeDuration</f>
        <v>56.71444897609333</v>
      </c>
      <c r="S16" s="119"/>
      <c r="T16" s="20">
        <f>L16+R16</f>
        <v>211.71444897609334</v>
      </c>
      <c r="U16" s="20"/>
    </row>
    <row r="17" spans="1:21" ht="15">
      <c r="A17" s="4" t="s">
        <v>164</v>
      </c>
      <c r="B17" s="4" t="s">
        <v>82</v>
      </c>
      <c r="C17" s="38" t="s">
        <v>120</v>
      </c>
      <c r="D17" s="28">
        <v>0.5070000000000014</v>
      </c>
      <c r="E17" s="19">
        <f>D17/D$20</f>
        <v>0.1516601854621601</v>
      </c>
      <c r="F17" s="91">
        <v>200</v>
      </c>
      <c r="G17" s="10">
        <v>117</v>
      </c>
      <c r="H17" s="24">
        <v>0.25</v>
      </c>
      <c r="I17" s="8">
        <f>G17*H17</f>
        <v>29.25</v>
      </c>
      <c r="J17" s="44">
        <f>LowlandRainforestFactor</f>
        <v>0.9</v>
      </c>
      <c r="K17" s="87">
        <f>F17*J17</f>
        <v>180</v>
      </c>
      <c r="L17" s="119">
        <f>I17+K17</f>
        <v>209.25</v>
      </c>
      <c r="M17" s="23">
        <v>63.558300000000045</v>
      </c>
      <c r="N17" s="23">
        <v>-5.96054</v>
      </c>
      <c r="O17" s="14">
        <f>-N17/M17</f>
        <v>0.09378067065985081</v>
      </c>
      <c r="P17" s="23">
        <v>1.9276</v>
      </c>
      <c r="Q17" s="14">
        <f>-N17/P17</f>
        <v>3.0922079269558</v>
      </c>
      <c r="R17" s="20">
        <f>O17*ExistingForestUptakeDuration</f>
        <v>2.8134201197955244</v>
      </c>
      <c r="S17" s="119"/>
      <c r="T17" s="20">
        <f>L17+R17</f>
        <v>212.06342011979552</v>
      </c>
      <c r="U17" s="20"/>
    </row>
    <row r="18" spans="1:21" ht="15">
      <c r="A18" s="4" t="s">
        <v>164</v>
      </c>
      <c r="B18" s="4" t="s">
        <v>81</v>
      </c>
      <c r="C18" s="38" t="s">
        <v>121</v>
      </c>
      <c r="D18" s="28">
        <v>1.9990000000000023</v>
      </c>
      <c r="E18" s="19">
        <f>D18/D$20</f>
        <v>0.5979658988932101</v>
      </c>
      <c r="F18" s="91">
        <v>18</v>
      </c>
      <c r="G18" s="10">
        <v>42</v>
      </c>
      <c r="H18" s="24">
        <v>0.25</v>
      </c>
      <c r="I18" s="8">
        <f>G18*H18</f>
        <v>10.5</v>
      </c>
      <c r="J18" s="44">
        <f>GrassyCerradoFactor</f>
        <v>0.9</v>
      </c>
      <c r="K18" s="87">
        <f>F18*J18</f>
        <v>16.2</v>
      </c>
      <c r="L18" s="119">
        <f>I18+K18</f>
        <v>26.7</v>
      </c>
      <c r="M18" s="23">
        <v>70.49649999999997</v>
      </c>
      <c r="N18" s="20"/>
      <c r="O18" s="14"/>
      <c r="P18" s="20"/>
      <c r="Q18" s="14"/>
      <c r="R18" s="20"/>
      <c r="S18" s="119"/>
      <c r="T18" s="20">
        <f>L18+R18</f>
        <v>26.7</v>
      </c>
      <c r="U18" s="20"/>
    </row>
    <row r="19" spans="1:21" ht="15">
      <c r="A19" s="4" t="s">
        <v>164</v>
      </c>
      <c r="B19" s="4" t="s">
        <v>85</v>
      </c>
      <c r="C19" s="38" t="s">
        <v>120</v>
      </c>
      <c r="D19" s="28">
        <v>0.836999999999998</v>
      </c>
      <c r="E19" s="19">
        <f>D19/D$20</f>
        <v>0.25037391564462985</v>
      </c>
      <c r="F19" s="91">
        <v>27</v>
      </c>
      <c r="G19" s="10">
        <v>69</v>
      </c>
      <c r="H19" s="24">
        <v>0.25</v>
      </c>
      <c r="I19" s="8">
        <f>G19*H19</f>
        <v>17.25</v>
      </c>
      <c r="J19" s="44">
        <f>WoodyCerradoFactor</f>
        <v>0.9</v>
      </c>
      <c r="K19" s="87">
        <f>F19*J19</f>
        <v>24.3</v>
      </c>
      <c r="L19" s="119">
        <f>I19+K19</f>
        <v>41.55</v>
      </c>
      <c r="M19" s="23">
        <v>106.06380000000001</v>
      </c>
      <c r="N19" s="20"/>
      <c r="O19" s="14">
        <v>0</v>
      </c>
      <c r="P19" s="20"/>
      <c r="Q19" s="14">
        <v>0</v>
      </c>
      <c r="R19" s="20">
        <f>O19*ExistingForestUptakeDuration</f>
        <v>0</v>
      </c>
      <c r="S19" s="119"/>
      <c r="T19" s="20">
        <f>L19+R19</f>
        <v>41.55</v>
      </c>
      <c r="U19" s="20"/>
    </row>
    <row r="20" spans="2:21" ht="15">
      <c r="B20" s="4" t="s">
        <v>186</v>
      </c>
      <c r="C20" s="38"/>
      <c r="D20" s="14">
        <f>SUM(D15:D19)</f>
        <v>3.3430000000000017</v>
      </c>
      <c r="E20" s="19">
        <f>SUM(E15:E19)</f>
        <v>1</v>
      </c>
      <c r="F20" s="20">
        <f>SUMPRODUCT($E15:$E19,F15:F19)</f>
        <v>47.8555189949148</v>
      </c>
      <c r="G20" s="21"/>
      <c r="H20" s="21"/>
      <c r="I20" s="20">
        <f>SUMPRODUCT($E15:$E19,I15:I19)</f>
        <v>15.033652408016753</v>
      </c>
      <c r="J20" s="16"/>
      <c r="K20" s="89"/>
      <c r="L20" s="119">
        <f>SUMPRODUCT($E15:$E19,L15:L19)</f>
        <v>58.10361950344008</v>
      </c>
      <c r="M20" s="20"/>
      <c r="N20" s="20"/>
      <c r="O20" s="14">
        <f>SUMPRODUCT($E15:$E19,O15:O19)</f>
        <v>0.014222793905038729</v>
      </c>
      <c r="P20" s="20"/>
      <c r="Q20" s="14">
        <f>SUMPRODUCT($E15:$E19,Q15:Q19)</f>
        <v>0.4689648276896782</v>
      </c>
      <c r="R20" s="20">
        <f>SUMPRODUCT(E15:E19,R15:R19)</f>
        <v>0.4266838171511619</v>
      </c>
      <c r="S20" s="119"/>
      <c r="T20" s="20">
        <f>SUMPRODUCT(E15:E19,T15:T19)</f>
        <v>58.53030332059124</v>
      </c>
      <c r="U20" s="20"/>
    </row>
    <row r="21" spans="2:21" ht="15">
      <c r="B21" s="4" t="s">
        <v>112</v>
      </c>
      <c r="C21" s="38"/>
      <c r="D21" s="14" t="s">
        <v>114</v>
      </c>
      <c r="E21" s="52">
        <f>SUM(D15:D17,D19)/$D$93</f>
        <v>0.017588377014189787</v>
      </c>
      <c r="F21" s="20">
        <f>(SUMPRODUCT($E15:$E17,K15:K17)+SUMPRODUCT($E19,K19))/SUM($E15:$E17,$E19)</f>
        <v>83.03504464285734</v>
      </c>
      <c r="G21" s="21"/>
      <c r="H21" s="21"/>
      <c r="I21" s="20">
        <f>(SUMPRODUCT($E15:$E17,I15:I17)+SUMPRODUCT($E19,I19))/SUM($E15:$E17,$E19)</f>
        <v>21.77678571428573</v>
      </c>
      <c r="J21" s="16"/>
      <c r="K21" s="89"/>
      <c r="L21" s="119"/>
      <c r="M21" s="20"/>
      <c r="N21" s="20"/>
      <c r="O21" s="14">
        <f>(SUMPRODUCT($E15:$E17,O15:O17)+SUMPRODUCT($E19,O19))/SUM($E15:$E17,$E19)</f>
        <v>0.03537708335159562</v>
      </c>
      <c r="P21" s="20"/>
      <c r="Q21" s="14">
        <f>(SUMPRODUCT($E15:$E17,Q15:Q17)+SUMPRODUCT($E19,Q19))/SUM($E15:$E17,$E19)</f>
        <v>1.1664802224453836</v>
      </c>
      <c r="R21" s="20"/>
      <c r="S21" s="119"/>
      <c r="T21" s="20"/>
      <c r="U21" s="20"/>
    </row>
    <row r="22" spans="2:21" ht="15">
      <c r="B22" s="4" t="s">
        <v>113</v>
      </c>
      <c r="C22" s="38"/>
      <c r="D22" s="14" t="s">
        <v>114</v>
      </c>
      <c r="E22" s="52">
        <f>D18/$D$93</f>
        <v>0.026160093490599286</v>
      </c>
      <c r="F22" s="20">
        <f>$E18*K18/$E18</f>
        <v>16.2</v>
      </c>
      <c r="G22" s="21"/>
      <c r="H22" s="21"/>
      <c r="I22" s="20">
        <f>$E18*I18/$E18</f>
        <v>10.5</v>
      </c>
      <c r="J22" s="16"/>
      <c r="K22" s="89"/>
      <c r="L22" s="119"/>
      <c r="M22" s="20"/>
      <c r="N22" s="20"/>
      <c r="O22" s="14"/>
      <c r="P22" s="20"/>
      <c r="Q22" s="14"/>
      <c r="R22" s="20"/>
      <c r="S22" s="119"/>
      <c r="T22" s="20"/>
      <c r="U22" s="20"/>
    </row>
    <row r="23" spans="3:21" ht="15">
      <c r="C23" s="38"/>
      <c r="D23" s="14"/>
      <c r="E23" s="19"/>
      <c r="F23" s="21"/>
      <c r="G23" s="21"/>
      <c r="H23" s="21"/>
      <c r="I23" s="20"/>
      <c r="J23" s="16"/>
      <c r="K23" s="89"/>
      <c r="L23" s="119"/>
      <c r="M23" s="20"/>
      <c r="N23" s="20"/>
      <c r="O23" s="14"/>
      <c r="P23" s="20"/>
      <c r="Q23" s="14"/>
      <c r="R23" s="20"/>
      <c r="S23" s="119"/>
      <c r="T23" s="20"/>
      <c r="U23" s="20"/>
    </row>
    <row r="24" spans="1:21" ht="15">
      <c r="A24" s="4" t="s">
        <v>204</v>
      </c>
      <c r="B24" s="4" t="s">
        <v>86</v>
      </c>
      <c r="C24" s="38" t="s">
        <v>120</v>
      </c>
      <c r="D24" s="29">
        <v>-0.5059999999999985</v>
      </c>
      <c r="E24" s="19">
        <f>D24/D$29</f>
        <v>0.15710382513661109</v>
      </c>
      <c r="F24" s="10">
        <v>160</v>
      </c>
      <c r="G24" s="35">
        <v>134</v>
      </c>
      <c r="H24" s="129">
        <v>0.25</v>
      </c>
      <c r="I24" s="8">
        <f>G24*H24</f>
        <v>33.5</v>
      </c>
      <c r="J24" s="44">
        <f>UnspecifiedFactor</f>
        <v>0.9</v>
      </c>
      <c r="K24" s="87">
        <f>F24*J24</f>
        <v>144</v>
      </c>
      <c r="L24" s="119">
        <f>I24+K24</f>
        <v>177.5</v>
      </c>
      <c r="M24" s="23">
        <v>88.25089317275066</v>
      </c>
      <c r="N24" s="23">
        <v>-32.26252000000001</v>
      </c>
      <c r="O24" s="14">
        <f>-N24/M24</f>
        <v>0.365577263188105</v>
      </c>
      <c r="P24" s="14">
        <v>0</v>
      </c>
      <c r="Q24" s="14">
        <f>Q6</f>
        <v>2.083236919756726</v>
      </c>
      <c r="R24" s="20">
        <f>O24*ExistingForestUptakeDuration</f>
        <v>10.96731789564315</v>
      </c>
      <c r="S24" s="135">
        <f>S6</f>
        <v>62.49710759270179</v>
      </c>
      <c r="T24" s="20">
        <f>I24*RegainedSoilC+S24</f>
        <v>87.62210759270178</v>
      </c>
      <c r="U24" s="20"/>
    </row>
    <row r="25" spans="1:21" ht="15">
      <c r="A25" s="4" t="s">
        <v>204</v>
      </c>
      <c r="B25" s="4" t="s">
        <v>93</v>
      </c>
      <c r="C25" s="38" t="s">
        <v>120</v>
      </c>
      <c r="D25" s="29">
        <v>-0.3464000000000027</v>
      </c>
      <c r="E25" s="19">
        <f>D25/D$29</f>
        <v>0.10755091902632939</v>
      </c>
      <c r="F25" s="10">
        <v>135</v>
      </c>
      <c r="G25" s="35">
        <v>134</v>
      </c>
      <c r="H25" s="129">
        <v>0.25</v>
      </c>
      <c r="I25" s="8">
        <f>G25*H25</f>
        <v>33.5</v>
      </c>
      <c r="J25" s="44">
        <f>UnspecifiedFactor</f>
        <v>0.9</v>
      </c>
      <c r="K25" s="87">
        <f>F25*J25</f>
        <v>121.5</v>
      </c>
      <c r="L25" s="119">
        <f>I25+K25</f>
        <v>155</v>
      </c>
      <c r="M25" s="23">
        <v>53.60558201648084</v>
      </c>
      <c r="N25" s="23">
        <v>-83.47084000000001</v>
      </c>
      <c r="O25" s="14">
        <f>-N25/M25</f>
        <v>1.5571296282976128</v>
      </c>
      <c r="P25" s="23">
        <v>16.8652</v>
      </c>
      <c r="Q25" s="14">
        <f>Q7</f>
        <v>1.8522134895188267</v>
      </c>
      <c r="R25" s="20">
        <f>O25*ExistingForestUptakeDuration</f>
        <v>46.713888848928384</v>
      </c>
      <c r="S25" s="135">
        <f>S7</f>
        <v>55.5664046855648</v>
      </c>
      <c r="T25" s="20">
        <f>I25*RegainedSoilC+S25</f>
        <v>80.6914046855648</v>
      </c>
      <c r="U25" s="20"/>
    </row>
    <row r="26" spans="1:21" ht="15">
      <c r="A26" s="4" t="s">
        <v>204</v>
      </c>
      <c r="B26" s="4" t="s">
        <v>88</v>
      </c>
      <c r="C26" s="38" t="s">
        <v>120</v>
      </c>
      <c r="D26" s="14">
        <v>0</v>
      </c>
      <c r="E26" s="19">
        <f>D26/D$29</f>
        <v>0</v>
      </c>
      <c r="F26" s="10">
        <v>90</v>
      </c>
      <c r="G26" s="35">
        <v>206</v>
      </c>
      <c r="H26" s="129">
        <v>0.25</v>
      </c>
      <c r="I26" s="8">
        <f>G26*H26</f>
        <v>51.5</v>
      </c>
      <c r="J26" s="44">
        <f>UnspecifiedFactor</f>
        <v>0.9</v>
      </c>
      <c r="K26" s="87">
        <f>F26*J26</f>
        <v>81</v>
      </c>
      <c r="L26" s="119">
        <f>I26+K26</f>
        <v>132.5</v>
      </c>
      <c r="M26" s="23">
        <v>612.8560248107684</v>
      </c>
      <c r="N26" s="14">
        <v>0</v>
      </c>
      <c r="O26" s="14">
        <f>-N26/M26</f>
        <v>0</v>
      </c>
      <c r="P26" s="23">
        <v>92.4534</v>
      </c>
      <c r="Q26" s="14">
        <f>-N26/P26</f>
        <v>0</v>
      </c>
      <c r="R26" s="20">
        <f>O26*ExistingForestUptakeDuration</f>
        <v>0</v>
      </c>
      <c r="S26" s="120">
        <f>Q26*RegrowingForestUptakeDuration</f>
        <v>0</v>
      </c>
      <c r="T26" s="20">
        <f>I26*RegainedSoilC+S26</f>
        <v>38.625</v>
      </c>
      <c r="U26" s="20"/>
    </row>
    <row r="27" spans="1:21" ht="15">
      <c r="A27" s="4" t="s">
        <v>204</v>
      </c>
      <c r="B27" s="4" t="s">
        <v>98</v>
      </c>
      <c r="C27" s="38" t="s">
        <v>120</v>
      </c>
      <c r="D27" s="14">
        <v>0</v>
      </c>
      <c r="E27" s="19">
        <f>D27/D$29</f>
        <v>0</v>
      </c>
      <c r="F27" s="10">
        <v>27</v>
      </c>
      <c r="G27" s="35">
        <v>69</v>
      </c>
      <c r="H27" s="129">
        <v>0.25</v>
      </c>
      <c r="I27" s="8">
        <f>G27*H27</f>
        <v>17.25</v>
      </c>
      <c r="J27" s="44">
        <f>UnspecifiedFactor</f>
        <v>0.9</v>
      </c>
      <c r="K27" s="87">
        <f>F27*J27</f>
        <v>24.3</v>
      </c>
      <c r="L27" s="119">
        <f>I27+K27</f>
        <v>41.55</v>
      </c>
      <c r="M27" s="23">
        <v>186</v>
      </c>
      <c r="N27" s="20"/>
      <c r="O27" s="14"/>
      <c r="P27" s="20"/>
      <c r="Q27" s="14"/>
      <c r="R27" s="20">
        <f>O27*ExistingForestUptakeDuration</f>
        <v>0</v>
      </c>
      <c r="S27" s="120">
        <f>Q27*RegrowingForestUptakeDuration</f>
        <v>0</v>
      </c>
      <c r="T27" s="20">
        <f>I27*RegainedSoilC+S27</f>
        <v>12.9375</v>
      </c>
      <c r="U27" s="20"/>
    </row>
    <row r="28" spans="1:21" ht="15">
      <c r="A28" s="4" t="s">
        <v>204</v>
      </c>
      <c r="B28" s="4" t="s">
        <v>87</v>
      </c>
      <c r="C28" s="38" t="s">
        <v>121</v>
      </c>
      <c r="D28" s="29">
        <v>-2.3684000000000083</v>
      </c>
      <c r="E28" s="19">
        <f>D28/D$29</f>
        <v>0.7353452558370596</v>
      </c>
      <c r="F28" s="10">
        <v>7</v>
      </c>
      <c r="G28" s="35">
        <v>189</v>
      </c>
      <c r="H28" s="129">
        <v>0.25</v>
      </c>
      <c r="I28" s="8">
        <f>G28*H28</f>
        <v>47.25</v>
      </c>
      <c r="J28" s="44">
        <f>UnspecifiedFactor</f>
        <v>0.9</v>
      </c>
      <c r="K28" s="87">
        <f>F28*J28</f>
        <v>6.3</v>
      </c>
      <c r="L28" s="119">
        <f>I28+K28</f>
        <v>53.55</v>
      </c>
      <c r="M28" s="23">
        <v>31.205800000000032</v>
      </c>
      <c r="N28" s="20"/>
      <c r="O28" s="14"/>
      <c r="P28" s="20"/>
      <c r="Q28" s="14">
        <f>Q10</f>
        <v>0</v>
      </c>
      <c r="R28" s="20"/>
      <c r="S28" s="135">
        <f>S10</f>
        <v>7</v>
      </c>
      <c r="T28" s="20">
        <f>I28*RegainedSoilC+S28</f>
        <v>42.4375</v>
      </c>
      <c r="U28" s="20"/>
    </row>
    <row r="29" spans="2:21" ht="15">
      <c r="B29" s="4" t="s">
        <v>186</v>
      </c>
      <c r="C29" s="38"/>
      <c r="D29" s="14">
        <f>SUM(D24:D28)</f>
        <v>-3.2208000000000094</v>
      </c>
      <c r="E29" s="19">
        <f>SUM(E24:E28)</f>
        <v>1</v>
      </c>
      <c r="F29" s="14">
        <f>SUMPRODUCT($E24:$E28,F24:F28)</f>
        <v>44.80340288127166</v>
      </c>
      <c r="G29" s="14"/>
      <c r="H29" s="14"/>
      <c r="I29" s="20">
        <f>SUMPRODUCT($E24:$E28,I24:I28)</f>
        <v>43.61099726775957</v>
      </c>
      <c r="J29" s="55"/>
      <c r="K29" s="90"/>
      <c r="L29" s="119">
        <f>SUMPRODUCT($E24:$E28,L24:L28)</f>
        <v>83.93405986090406</v>
      </c>
      <c r="M29" s="20"/>
      <c r="N29" s="20"/>
      <c r="O29" s="14"/>
      <c r="P29" s="20"/>
      <c r="Q29" s="14"/>
      <c r="R29" s="14">
        <f>SUMPRODUCT($E24:$E28,R24:R28)</f>
        <v>6.747129269890795</v>
      </c>
      <c r="S29" s="119"/>
      <c r="T29" s="20">
        <f>SUMPRODUCT($E24:$E28,T24:T28)</f>
        <v>53.650417295388316</v>
      </c>
      <c r="U29" s="20"/>
    </row>
    <row r="30" spans="2:21" ht="15">
      <c r="B30" s="4" t="s">
        <v>112</v>
      </c>
      <c r="C30" s="38"/>
      <c r="D30" s="14" t="s">
        <v>114</v>
      </c>
      <c r="E30" s="52">
        <f>SUM(D24:D27)/$D$93</f>
        <v>-0.011155009350368603</v>
      </c>
      <c r="F30" s="25">
        <f>SUMPRODUCT($E24:$E27,K24:K27)/SUM($E24:$E27)</f>
        <v>134.85640544345372</v>
      </c>
      <c r="G30" s="14"/>
      <c r="H30" s="14"/>
      <c r="I30" s="17">
        <f>SUMPRODUCT($E24:$E27,I24:I27)/SUM($E24:$E27)</f>
        <v>33.5</v>
      </c>
      <c r="J30" s="55"/>
      <c r="K30" s="90"/>
      <c r="L30" s="119"/>
      <c r="M30" s="20"/>
      <c r="N30" s="20"/>
      <c r="O30" s="25">
        <f>SUMPRODUCT($E24:$E27,O24:O27)/SUM($E24:$E27)</f>
        <v>0.8498026729416669</v>
      </c>
      <c r="P30" s="14"/>
      <c r="Q30" s="25">
        <f>SUMPRODUCT($E24:$E27,Q24:Q27)/SUM($E24:$E27)</f>
        <v>1.9893531606830415</v>
      </c>
      <c r="R30" s="14"/>
      <c r="S30" s="119"/>
      <c r="T30" s="20"/>
      <c r="U30" s="20"/>
    </row>
    <row r="31" spans="2:21" ht="15">
      <c r="B31" s="4" t="s">
        <v>113</v>
      </c>
      <c r="C31" s="38"/>
      <c r="D31" s="14" t="s">
        <v>114</v>
      </c>
      <c r="E31" s="52">
        <f>D28/$D$93</f>
        <v>-0.030994279851493493</v>
      </c>
      <c r="F31" s="25">
        <f>SUMPRODUCT($E28,K28)/$E28</f>
        <v>6.3</v>
      </c>
      <c r="G31" s="14"/>
      <c r="H31" s="14"/>
      <c r="I31" s="17">
        <f>SUMPRODUCT($E28,I28)/$E28</f>
        <v>47.25</v>
      </c>
      <c r="J31" s="55"/>
      <c r="K31" s="90"/>
      <c r="L31" s="119"/>
      <c r="M31" s="20"/>
      <c r="N31" s="20"/>
      <c r="O31" s="14"/>
      <c r="P31" s="20"/>
      <c r="Q31" s="14"/>
      <c r="R31" s="14"/>
      <c r="S31" s="119"/>
      <c r="T31" s="20"/>
      <c r="U31" s="20"/>
    </row>
    <row r="32" spans="3:21" ht="15">
      <c r="C32" s="38"/>
      <c r="D32" s="14"/>
      <c r="E32" s="19"/>
      <c r="F32" s="6"/>
      <c r="G32" s="6"/>
      <c r="H32" s="6"/>
      <c r="I32" s="20"/>
      <c r="J32" s="16"/>
      <c r="K32" s="89"/>
      <c r="L32" s="119"/>
      <c r="M32" s="20"/>
      <c r="N32" s="20"/>
      <c r="O32" s="14"/>
      <c r="P32" s="20"/>
      <c r="Q32" s="14"/>
      <c r="R32" s="20"/>
      <c r="S32" s="119"/>
      <c r="T32" s="20"/>
      <c r="U32" s="20"/>
    </row>
    <row r="33" spans="1:21" ht="15">
      <c r="A33" s="4" t="s">
        <v>203</v>
      </c>
      <c r="B33" s="4" t="s">
        <v>83</v>
      </c>
      <c r="C33" s="38" t="s">
        <v>120</v>
      </c>
      <c r="D33" s="28">
        <v>0</v>
      </c>
      <c r="E33" s="19">
        <f>D33/D$38</f>
        <v>0</v>
      </c>
      <c r="F33" s="91">
        <v>160</v>
      </c>
      <c r="G33" s="10">
        <v>134</v>
      </c>
      <c r="H33" s="24">
        <v>0.25</v>
      </c>
      <c r="I33" s="8">
        <f>G33*H33</f>
        <v>33.5</v>
      </c>
      <c r="J33" s="44">
        <f>UnspecifiedFactor</f>
        <v>0.9</v>
      </c>
      <c r="K33" s="87">
        <f>F33*J33</f>
        <v>144</v>
      </c>
      <c r="L33" s="119">
        <f>I33+K33</f>
        <v>177.5</v>
      </c>
      <c r="M33" s="23">
        <v>6.82420000000004</v>
      </c>
      <c r="N33" s="23">
        <v>-14.506</v>
      </c>
      <c r="O33" s="14">
        <f>-N33/M33</f>
        <v>2.1256704082529696</v>
      </c>
      <c r="P33" s="23">
        <v>4.9648</v>
      </c>
      <c r="Q33" s="14">
        <f>-N33/P33</f>
        <v>2.9217692555591364</v>
      </c>
      <c r="R33" s="20">
        <f>O33*ExistingForestUptakeDuration</f>
        <v>63.77011224758909</v>
      </c>
      <c r="S33" s="119"/>
      <c r="T33" s="20">
        <f>L33+R33</f>
        <v>241.27011224758908</v>
      </c>
      <c r="U33" s="20"/>
    </row>
    <row r="34" spans="1:21" ht="15">
      <c r="A34" s="4" t="s">
        <v>203</v>
      </c>
      <c r="B34" s="4" t="s">
        <v>82</v>
      </c>
      <c r="C34" s="38" t="s">
        <v>120</v>
      </c>
      <c r="D34" s="28">
        <v>0</v>
      </c>
      <c r="E34" s="19">
        <f>D34/D$38</f>
        <v>0</v>
      </c>
      <c r="F34" s="91">
        <v>200</v>
      </c>
      <c r="G34" s="10">
        <v>117</v>
      </c>
      <c r="H34" s="24">
        <v>0.25</v>
      </c>
      <c r="I34" s="8">
        <f>G34*H34</f>
        <v>29.25</v>
      </c>
      <c r="J34" s="44">
        <f>LowlandRainforestFactor</f>
        <v>0.9</v>
      </c>
      <c r="K34" s="87">
        <f>F34*J34</f>
        <v>180</v>
      </c>
      <c r="L34" s="119">
        <f>I34+K34</f>
        <v>209.25</v>
      </c>
      <c r="M34" s="23">
        <v>2.099999999999973</v>
      </c>
      <c r="N34" s="23">
        <v>-6.0974</v>
      </c>
      <c r="O34" s="14">
        <f>-N34/M34</f>
        <v>2.903523809523847</v>
      </c>
      <c r="P34" s="23">
        <v>1.3809000000000002</v>
      </c>
      <c r="Q34" s="14">
        <f>-N34/P34</f>
        <v>4.415526106162647</v>
      </c>
      <c r="R34" s="20">
        <f>O34*ExistingForestUptakeDuration</f>
        <v>87.10571428571541</v>
      </c>
      <c r="S34" s="119"/>
      <c r="T34" s="20">
        <f>L34+R34</f>
        <v>296.3557142857154</v>
      </c>
      <c r="U34" s="20"/>
    </row>
    <row r="35" spans="1:21" ht="15">
      <c r="A35" s="4" t="s">
        <v>203</v>
      </c>
      <c r="B35" s="4" t="s">
        <v>81</v>
      </c>
      <c r="C35" s="38" t="s">
        <v>121</v>
      </c>
      <c r="D35" s="28">
        <v>2.965999999999994</v>
      </c>
      <c r="E35" s="19">
        <f>D35/D$38</f>
        <v>0.4982361834369222</v>
      </c>
      <c r="F35" s="91">
        <v>18</v>
      </c>
      <c r="G35" s="10">
        <v>42</v>
      </c>
      <c r="H35" s="24">
        <v>0.25</v>
      </c>
      <c r="I35" s="8">
        <f>G35*H35</f>
        <v>10.5</v>
      </c>
      <c r="J35" s="44">
        <f>GrassyCerradoFactor</f>
        <v>0.9</v>
      </c>
      <c r="K35" s="87">
        <f>F35*J35</f>
        <v>16.2</v>
      </c>
      <c r="L35" s="119">
        <f>I35+K35</f>
        <v>26.7</v>
      </c>
      <c r="M35" s="23">
        <v>44.22919999999999</v>
      </c>
      <c r="N35" s="20">
        <v>0</v>
      </c>
      <c r="O35" s="14"/>
      <c r="P35" s="20"/>
      <c r="Q35" s="14"/>
      <c r="R35" s="20"/>
      <c r="S35" s="119"/>
      <c r="T35" s="20">
        <f>L35+R35</f>
        <v>26.7</v>
      </c>
      <c r="U35" s="20"/>
    </row>
    <row r="36" spans="1:21" ht="15">
      <c r="A36" s="4" t="s">
        <v>203</v>
      </c>
      <c r="B36" s="4" t="s">
        <v>84</v>
      </c>
      <c r="C36" s="38" t="s">
        <v>121</v>
      </c>
      <c r="D36" s="28">
        <v>2.3809999999999967</v>
      </c>
      <c r="E36" s="19">
        <f>D36/D$38</f>
        <v>0.39996640349403656</v>
      </c>
      <c r="F36" s="91">
        <v>3</v>
      </c>
      <c r="G36" s="10">
        <v>58</v>
      </c>
      <c r="H36" s="24">
        <v>0.25</v>
      </c>
      <c r="I36" s="8">
        <f>G36*H36</f>
        <v>14.5</v>
      </c>
      <c r="J36" s="44">
        <f>UnspecifiedFactor</f>
        <v>0.9</v>
      </c>
      <c r="K36" s="87">
        <f>F36*J36</f>
        <v>2.7</v>
      </c>
      <c r="L36" s="119">
        <f>I36+K36</f>
        <v>17.2</v>
      </c>
      <c r="M36" s="23">
        <v>793.071</v>
      </c>
      <c r="N36" s="20">
        <v>0</v>
      </c>
      <c r="O36" s="14"/>
      <c r="P36" s="20"/>
      <c r="Q36" s="14"/>
      <c r="R36" s="20"/>
      <c r="S36" s="119"/>
      <c r="T36" s="20">
        <f>L36+R36</f>
        <v>17.2</v>
      </c>
      <c r="U36" s="20"/>
    </row>
    <row r="37" spans="1:21" ht="15">
      <c r="A37" s="4" t="s">
        <v>203</v>
      </c>
      <c r="B37" s="4" t="s">
        <v>85</v>
      </c>
      <c r="C37" s="38" t="s">
        <v>120</v>
      </c>
      <c r="D37" s="28">
        <v>0.6060000000000016</v>
      </c>
      <c r="E37" s="19">
        <f>D37/D$38</f>
        <v>0.10179741306904123</v>
      </c>
      <c r="F37" s="91">
        <v>27</v>
      </c>
      <c r="G37" s="10">
        <v>69</v>
      </c>
      <c r="H37" s="24">
        <v>0.25</v>
      </c>
      <c r="I37" s="8">
        <f>G37*H37</f>
        <v>17.25</v>
      </c>
      <c r="J37" s="44">
        <f>WoodyCerradoFactor</f>
        <v>0.9</v>
      </c>
      <c r="K37" s="87">
        <f>F37*J37</f>
        <v>24.3</v>
      </c>
      <c r="L37" s="119">
        <f>I37+K37</f>
        <v>41.55</v>
      </c>
      <c r="M37" s="23">
        <v>18.5022</v>
      </c>
      <c r="N37" s="20">
        <v>0</v>
      </c>
      <c r="O37" s="14"/>
      <c r="P37" s="20"/>
      <c r="Q37" s="14"/>
      <c r="R37" s="20">
        <f>O37*ExistingForestUptakeDuration</f>
        <v>0</v>
      </c>
      <c r="S37" s="119"/>
      <c r="T37" s="20">
        <f>L37+R37</f>
        <v>41.55</v>
      </c>
      <c r="U37" s="20"/>
    </row>
    <row r="38" spans="2:21" ht="15">
      <c r="B38" s="4" t="s">
        <v>186</v>
      </c>
      <c r="C38" s="38"/>
      <c r="D38" s="14">
        <f>SUM(D33:D37)</f>
        <v>5.952999999999992</v>
      </c>
      <c r="E38" s="19">
        <f>SUM(E33:E37)</f>
        <v>1</v>
      </c>
      <c r="F38" s="20">
        <f>SUMPRODUCT($E33:$E37,F33:F37)</f>
        <v>12.916680665210823</v>
      </c>
      <c r="G38" s="21"/>
      <c r="H38" s="21"/>
      <c r="I38" s="20">
        <f>SUMPRODUCT($E33:$E37,I33:I37)</f>
        <v>12.786998152192174</v>
      </c>
      <c r="J38" s="16"/>
      <c r="K38" s="89"/>
      <c r="L38" s="119">
        <f>SUMPRODUCT($E33:$E37,L33:L37)</f>
        <v>24.412010750881915</v>
      </c>
      <c r="M38" s="20"/>
      <c r="N38" s="20"/>
      <c r="O38" s="14"/>
      <c r="P38" s="20"/>
      <c r="Q38" s="14"/>
      <c r="R38" s="20">
        <f>SUMPRODUCT(E33:E37,R33:R37)</f>
        <v>0</v>
      </c>
      <c r="S38" s="119"/>
      <c r="T38" s="20">
        <f>SUMPRODUCT(E33:E37,T33:T37)</f>
        <v>24.412010750881915</v>
      </c>
      <c r="U38" s="20"/>
    </row>
    <row r="39" spans="2:21" ht="15">
      <c r="B39" s="4" t="s">
        <v>112</v>
      </c>
      <c r="C39" s="38"/>
      <c r="D39" s="14" t="s">
        <v>114</v>
      </c>
      <c r="E39" s="52">
        <f>SUM(D33:D34,D37)/$D$93</f>
        <v>0.007930473564433813</v>
      </c>
      <c r="F39" s="17">
        <f>(SUMPRODUCT($E33:$E34,K33:K34)+$E37*K37)/SUM($E33:$E34,$E37)</f>
        <v>24.3</v>
      </c>
      <c r="G39" s="21"/>
      <c r="H39" s="21"/>
      <c r="I39" s="17">
        <f>(SUMPRODUCT($E33:$E34,I33:I34)+$E37*I37)/SUM($E33:$E34,$E37)</f>
        <v>17.25</v>
      </c>
      <c r="J39" s="16"/>
      <c r="K39" s="89"/>
      <c r="L39" s="119"/>
      <c r="M39" s="20"/>
      <c r="N39" s="20"/>
      <c r="O39" s="25">
        <f>(SUMPRODUCT($E33:$E34,O33:O34)+$E37*O37)/SUM($E33:$E34,$E37)</f>
        <v>0</v>
      </c>
      <c r="P39" s="14"/>
      <c r="Q39" s="25">
        <f>(SUMPRODUCT($E33:$E34,Q33:Q34)+$E37*Q37)/SUM($E33:$E34,$E37)</f>
        <v>0</v>
      </c>
      <c r="R39" s="20"/>
      <c r="S39" s="119"/>
      <c r="T39" s="20"/>
      <c r="U39" s="20"/>
    </row>
    <row r="40" spans="2:21" ht="15">
      <c r="B40" s="4" t="s">
        <v>113</v>
      </c>
      <c r="C40" s="38"/>
      <c r="D40" s="14" t="s">
        <v>114</v>
      </c>
      <c r="E40" s="52">
        <f>SUM(D35,D36)/$D$93</f>
        <v>0.06997399694558978</v>
      </c>
      <c r="F40" s="17">
        <f>SUMPRODUCT($E35:$E36,K35:K36)/SUM($E35:$E36)</f>
        <v>10.188498223302783</v>
      </c>
      <c r="G40" s="21"/>
      <c r="H40" s="21"/>
      <c r="I40" s="17">
        <f>SUMPRODUCT($E35:$E36,I35:I36)/SUM($E35:$E36)</f>
        <v>12.281185711613988</v>
      </c>
      <c r="J40" s="16"/>
      <c r="K40" s="89"/>
      <c r="L40" s="119"/>
      <c r="M40" s="20"/>
      <c r="N40" s="20"/>
      <c r="O40" s="14"/>
      <c r="P40" s="20"/>
      <c r="Q40" s="14"/>
      <c r="R40" s="20"/>
      <c r="S40" s="119"/>
      <c r="T40" s="20"/>
      <c r="U40" s="20"/>
    </row>
    <row r="41" spans="3:21" ht="15">
      <c r="C41" s="38"/>
      <c r="D41" s="14"/>
      <c r="E41" s="19"/>
      <c r="F41" s="6"/>
      <c r="G41" s="6"/>
      <c r="H41" s="6"/>
      <c r="I41" s="20"/>
      <c r="J41" s="16"/>
      <c r="K41" s="89"/>
      <c r="L41" s="119"/>
      <c r="M41" s="20"/>
      <c r="N41" s="20"/>
      <c r="O41" s="14"/>
      <c r="P41" s="20"/>
      <c r="Q41" s="14"/>
      <c r="R41" s="20"/>
      <c r="S41" s="119"/>
      <c r="T41" s="20"/>
      <c r="U41" s="20"/>
    </row>
    <row r="42" spans="1:21" ht="15">
      <c r="A42" s="4" t="s">
        <v>153</v>
      </c>
      <c r="B42" s="4" t="s">
        <v>86</v>
      </c>
      <c r="C42" s="38" t="s">
        <v>120</v>
      </c>
      <c r="D42" s="28">
        <v>0.44</v>
      </c>
      <c r="E42" s="19">
        <f>D42/D$47</f>
        <v>0.19819819819819817</v>
      </c>
      <c r="F42" s="91">
        <v>160</v>
      </c>
      <c r="G42" s="10">
        <v>134</v>
      </c>
      <c r="H42" s="24">
        <v>0.25</v>
      </c>
      <c r="I42" s="8">
        <f>G42*H42</f>
        <v>33.5</v>
      </c>
      <c r="J42" s="44">
        <f>UnspecifiedFactor</f>
        <v>0.9</v>
      </c>
      <c r="K42" s="87">
        <f>F42*J42</f>
        <v>144</v>
      </c>
      <c r="L42" s="119">
        <f>I42+K42</f>
        <v>177.5</v>
      </c>
      <c r="M42" s="23">
        <v>37.3052</v>
      </c>
      <c r="N42" s="23">
        <v>-18.471999999999998</v>
      </c>
      <c r="O42" s="14">
        <f>-N42/M42</f>
        <v>0.49515885184907193</v>
      </c>
      <c r="P42" s="23">
        <v>7.8018</v>
      </c>
      <c r="Q42" s="14">
        <f>-N42/P42</f>
        <v>2.3676587454177236</v>
      </c>
      <c r="R42" s="20">
        <f>O42*ExistingForestUptakeDuration</f>
        <v>14.854765555472158</v>
      </c>
      <c r="S42" s="119"/>
      <c r="T42" s="20">
        <f>L42+R42</f>
        <v>192.35476555547217</v>
      </c>
      <c r="U42" s="20"/>
    </row>
    <row r="43" spans="1:21" ht="15">
      <c r="A43" s="4" t="s">
        <v>153</v>
      </c>
      <c r="B43" s="4" t="s">
        <v>89</v>
      </c>
      <c r="C43" s="38" t="s">
        <v>120</v>
      </c>
      <c r="D43" s="28">
        <v>0</v>
      </c>
      <c r="E43" s="19">
        <f>D43/D$47</f>
        <v>0</v>
      </c>
      <c r="F43" s="91">
        <v>135</v>
      </c>
      <c r="G43" s="10">
        <v>134</v>
      </c>
      <c r="H43" s="24">
        <v>0.25</v>
      </c>
      <c r="I43" s="8">
        <f>G43*H43</f>
        <v>33.5</v>
      </c>
      <c r="J43" s="44">
        <f>UnspecifiedFactor</f>
        <v>0.9</v>
      </c>
      <c r="K43" s="87">
        <f>F43*J43</f>
        <v>121.5</v>
      </c>
      <c r="L43" s="119">
        <f>I43+K43</f>
        <v>155</v>
      </c>
      <c r="M43" s="23">
        <v>46.1</v>
      </c>
      <c r="N43" s="23">
        <v>-2.9568000000000003</v>
      </c>
      <c r="O43" s="14">
        <f>-N43/M43</f>
        <v>0.06413882863340564</v>
      </c>
      <c r="P43" s="23">
        <v>1.7124</v>
      </c>
      <c r="Q43" s="14">
        <f>-N43/P43</f>
        <v>1.7266993693062371</v>
      </c>
      <c r="R43" s="20">
        <f>O43*ExistingForestUptakeDuration</f>
        <v>1.9241648590021692</v>
      </c>
      <c r="S43" s="119"/>
      <c r="T43" s="20">
        <f>L43+R43</f>
        <v>156.92416485900216</v>
      </c>
      <c r="U43" s="20"/>
    </row>
    <row r="44" spans="1:21" ht="15">
      <c r="A44" s="4" t="s">
        <v>153</v>
      </c>
      <c r="B44" s="4" t="s">
        <v>88</v>
      </c>
      <c r="C44" s="38" t="s">
        <v>120</v>
      </c>
      <c r="D44" s="28">
        <v>0</v>
      </c>
      <c r="E44" s="19">
        <f>D44/D$47</f>
        <v>0</v>
      </c>
      <c r="F44" s="91">
        <v>90</v>
      </c>
      <c r="G44" s="10">
        <v>206</v>
      </c>
      <c r="H44" s="24">
        <v>0.25</v>
      </c>
      <c r="I44" s="8">
        <f>G44*H44</f>
        <v>51.5</v>
      </c>
      <c r="J44" s="44">
        <f>UnspecifiedFactor</f>
        <v>0.9</v>
      </c>
      <c r="K44" s="87">
        <f>F44*J44</f>
        <v>81</v>
      </c>
      <c r="L44" s="119">
        <f>I44+K44</f>
        <v>132.5</v>
      </c>
      <c r="M44" s="23">
        <v>460.99940000000004</v>
      </c>
      <c r="N44" s="23">
        <v>-17.7403</v>
      </c>
      <c r="O44" s="14">
        <f>-N44/M44</f>
        <v>0.03848226266671931</v>
      </c>
      <c r="P44" s="23">
        <v>13.0443</v>
      </c>
      <c r="Q44" s="14">
        <f>-N44/P44</f>
        <v>1.3600039864155227</v>
      </c>
      <c r="R44" s="20">
        <f>O44*ExistingForestUptakeDuration</f>
        <v>1.1544678800015793</v>
      </c>
      <c r="S44" s="119"/>
      <c r="T44" s="20">
        <f>L44+R44</f>
        <v>133.6544678800016</v>
      </c>
      <c r="U44" s="20"/>
    </row>
    <row r="45" spans="1:21" ht="15">
      <c r="A45" s="4" t="s">
        <v>153</v>
      </c>
      <c r="B45" s="4" t="s">
        <v>87</v>
      </c>
      <c r="C45" s="38" t="s">
        <v>121</v>
      </c>
      <c r="D45" s="28">
        <v>1.78</v>
      </c>
      <c r="E45" s="19">
        <f>D45/D$47</f>
        <v>0.8018018018018017</v>
      </c>
      <c r="F45" s="91">
        <v>7</v>
      </c>
      <c r="G45" s="10">
        <v>189</v>
      </c>
      <c r="H45" s="24">
        <v>0.25</v>
      </c>
      <c r="I45" s="8">
        <f>G45*H45</f>
        <v>47.25</v>
      </c>
      <c r="J45" s="44">
        <f>USGrasslandFactor</f>
        <v>0.9</v>
      </c>
      <c r="K45" s="87">
        <f>F45*J45</f>
        <v>6.3</v>
      </c>
      <c r="L45" s="119">
        <f>I45+K45</f>
        <v>53.55</v>
      </c>
      <c r="M45" s="23">
        <v>10.935</v>
      </c>
      <c r="N45" s="20"/>
      <c r="O45" s="14"/>
      <c r="P45" s="20"/>
      <c r="Q45" s="14"/>
      <c r="R45" s="20"/>
      <c r="S45" s="119"/>
      <c r="T45" s="20">
        <f>L45+R45</f>
        <v>53.55</v>
      </c>
      <c r="U45" s="20"/>
    </row>
    <row r="46" spans="1:21" ht="15">
      <c r="A46" s="4" t="s">
        <v>153</v>
      </c>
      <c r="B46" s="4" t="s">
        <v>182</v>
      </c>
      <c r="C46" s="38"/>
      <c r="D46" s="28">
        <v>0</v>
      </c>
      <c r="E46" s="19">
        <f>D46/D$47</f>
        <v>0</v>
      </c>
      <c r="F46" s="91">
        <v>5</v>
      </c>
      <c r="G46" s="10">
        <v>165</v>
      </c>
      <c r="H46" s="24">
        <v>0.25</v>
      </c>
      <c r="I46" s="8">
        <f>G46*H46</f>
        <v>41.25</v>
      </c>
      <c r="J46" s="44">
        <f>UnspecifiedFactor</f>
        <v>0.9</v>
      </c>
      <c r="K46" s="87">
        <f>F46*J46</f>
        <v>4.5</v>
      </c>
      <c r="L46" s="119">
        <f>I46+K46</f>
        <v>45.75</v>
      </c>
      <c r="M46" s="23">
        <v>322.7</v>
      </c>
      <c r="N46" s="20"/>
      <c r="O46" s="14"/>
      <c r="P46" s="20"/>
      <c r="Q46" s="14"/>
      <c r="R46" s="20">
        <f>O46*ExistingForestUptakeDuration</f>
        <v>0</v>
      </c>
      <c r="S46" s="119"/>
      <c r="T46" s="20">
        <f>L46+R46</f>
        <v>45.75</v>
      </c>
      <c r="U46" s="20"/>
    </row>
    <row r="47" spans="2:21" ht="15">
      <c r="B47" s="4" t="s">
        <v>186</v>
      </c>
      <c r="C47" s="38"/>
      <c r="D47" s="14">
        <f>SUM(D42:D46)</f>
        <v>2.22</v>
      </c>
      <c r="E47" s="19">
        <f>SUM(E42:E46)</f>
        <v>0.9999999999999999</v>
      </c>
      <c r="F47" s="20">
        <f>SUMPRODUCT($E42:$E46,F42:F46)</f>
        <v>37.32432432432432</v>
      </c>
      <c r="G47" s="21"/>
      <c r="H47" s="21"/>
      <c r="I47" s="20">
        <f>SUMPRODUCT($E42:$E46,I42:I46)</f>
        <v>44.52477477477477</v>
      </c>
      <c r="J47" s="16"/>
      <c r="K47" s="89"/>
      <c r="L47" s="119">
        <f>SUMPRODUCT($E42:$E46,L42:L46)</f>
        <v>78.11666666666665</v>
      </c>
      <c r="M47" s="20"/>
      <c r="N47" s="20"/>
      <c r="O47" s="14"/>
      <c r="P47" s="20"/>
      <c r="Q47" s="14"/>
      <c r="R47" s="20">
        <f>SUMPRODUCT(E42:E46,R42:R46)</f>
        <v>2.944187767751238</v>
      </c>
      <c r="S47" s="119"/>
      <c r="T47" s="20">
        <f>SUMPRODUCT(E42:E46,T42:T46)</f>
        <v>81.0608544344179</v>
      </c>
      <c r="U47" s="20"/>
    </row>
    <row r="48" spans="2:21" ht="15">
      <c r="B48" s="4" t="s">
        <v>112</v>
      </c>
      <c r="C48" s="38"/>
      <c r="D48" s="14" t="s">
        <v>114</v>
      </c>
      <c r="E48" s="52">
        <f>SUM(D42:D44)/$D$93</f>
        <v>0.005758099617740707</v>
      </c>
      <c r="F48" s="17">
        <f>SUMPRODUCT($E42:$E44,K42:K44)/SUM($E42:$E44)</f>
        <v>144</v>
      </c>
      <c r="G48" s="21"/>
      <c r="H48" s="21"/>
      <c r="I48" s="17">
        <f>SUMPRODUCT($E42:$E44,I42:I44)/SUM($E42:$E44)</f>
        <v>33.5</v>
      </c>
      <c r="J48" s="16"/>
      <c r="K48" s="89"/>
      <c r="L48" s="119"/>
      <c r="M48" s="20"/>
      <c r="N48" s="20"/>
      <c r="O48" s="25">
        <f>SUMPRODUCT($E42:$E44,O42:O44)/SUM($E42:$E44)</f>
        <v>0.495158851849072</v>
      </c>
      <c r="P48" s="14"/>
      <c r="Q48" s="25">
        <f>SUMPRODUCT($E42:$E44,Q42:Q44)/SUM($E42:$E44)</f>
        <v>2.3676587454177236</v>
      </c>
      <c r="R48" s="20"/>
      <c r="S48" s="119"/>
      <c r="T48" s="20"/>
      <c r="U48" s="20"/>
    </row>
    <row r="49" spans="2:21" ht="15">
      <c r="B49" s="4" t="s">
        <v>113</v>
      </c>
      <c r="C49" s="38"/>
      <c r="D49" s="14" t="s">
        <v>114</v>
      </c>
      <c r="E49" s="52">
        <f>D45/$D$93</f>
        <v>0.02329413027176922</v>
      </c>
      <c r="F49" s="20">
        <f>$E45*K45/$E45</f>
        <v>6.300000000000001</v>
      </c>
      <c r="G49" s="21"/>
      <c r="H49" s="21"/>
      <c r="I49" s="20">
        <f>$E45*I45/$E45</f>
        <v>47.25</v>
      </c>
      <c r="J49" s="16"/>
      <c r="K49" s="89"/>
      <c r="L49" s="119"/>
      <c r="M49" s="20"/>
      <c r="N49" s="20"/>
      <c r="O49" s="14"/>
      <c r="P49" s="20"/>
      <c r="Q49" s="14"/>
      <c r="R49" s="20"/>
      <c r="S49" s="119"/>
      <c r="T49" s="20"/>
      <c r="U49" s="20"/>
    </row>
    <row r="50" spans="3:21" ht="15">
      <c r="C50" s="38"/>
      <c r="D50" s="14"/>
      <c r="E50" s="19"/>
      <c r="F50" s="6"/>
      <c r="G50" s="6"/>
      <c r="H50" s="6"/>
      <c r="I50" s="20"/>
      <c r="J50" s="16"/>
      <c r="K50" s="89"/>
      <c r="L50" s="119"/>
      <c r="M50" s="20"/>
      <c r="N50" s="20"/>
      <c r="O50" s="14"/>
      <c r="P50" s="20"/>
      <c r="Q50" s="14"/>
      <c r="R50" s="20"/>
      <c r="S50" s="119"/>
      <c r="T50" s="20"/>
      <c r="U50" s="20"/>
    </row>
    <row r="51" spans="1:21" ht="15">
      <c r="A51" s="4" t="s">
        <v>160</v>
      </c>
      <c r="B51" s="4" t="s">
        <v>215</v>
      </c>
      <c r="C51" s="38" t="s">
        <v>120</v>
      </c>
      <c r="D51" s="28">
        <v>0.00839999999999999</v>
      </c>
      <c r="E51" s="19">
        <f>D51/$D$58</f>
        <v>0.01622247972190033</v>
      </c>
      <c r="F51" s="91">
        <v>150</v>
      </c>
      <c r="G51" s="10">
        <v>150</v>
      </c>
      <c r="H51" s="24">
        <v>0.25</v>
      </c>
      <c r="I51" s="8">
        <f>G51*H51</f>
        <v>37.5</v>
      </c>
      <c r="J51" s="44">
        <f aca="true" t="shared" si="1" ref="J51:J56">UnspecifiedFactor</f>
        <v>0.9</v>
      </c>
      <c r="K51" s="87">
        <f aca="true" t="shared" si="2" ref="K51:K68">F51*J51</f>
        <v>135</v>
      </c>
      <c r="L51" s="119">
        <f aca="true" t="shared" si="3" ref="L51:L57">I51+K51</f>
        <v>172.5</v>
      </c>
      <c r="M51" s="23">
        <v>54.5716</v>
      </c>
      <c r="N51" s="23">
        <v>-34.7016</v>
      </c>
      <c r="O51" s="14">
        <f>-N51/M51</f>
        <v>0.6358911961533106</v>
      </c>
      <c r="P51" s="23">
        <v>37.6263</v>
      </c>
      <c r="Q51" s="14">
        <f>-N51/P51</f>
        <v>0.9222697953293307</v>
      </c>
      <c r="R51" s="20">
        <f>O51*ExistingForestUptakeDuration</f>
        <v>19.076735884599316</v>
      </c>
      <c r="S51" s="119"/>
      <c r="T51" s="20">
        <f aca="true" t="shared" si="4" ref="T51:T57">L51+R51</f>
        <v>191.57673588459932</v>
      </c>
      <c r="U51" s="20"/>
    </row>
    <row r="52" spans="1:21" ht="15">
      <c r="A52" s="4" t="s">
        <v>160</v>
      </c>
      <c r="B52" s="4" t="s">
        <v>216</v>
      </c>
      <c r="C52" s="38" t="s">
        <v>120</v>
      </c>
      <c r="D52" s="28">
        <v>0.17824</v>
      </c>
      <c r="E52" s="19">
        <f aca="true" t="shared" si="5" ref="E52:E57">D52/$D$58</f>
        <v>0.34422556971803786</v>
      </c>
      <c r="F52" s="91">
        <v>170</v>
      </c>
      <c r="G52" s="10">
        <v>160</v>
      </c>
      <c r="H52" s="24">
        <v>0.25</v>
      </c>
      <c r="I52" s="8">
        <f aca="true" t="shared" si="6" ref="I52:I57">G52*H52</f>
        <v>40</v>
      </c>
      <c r="J52" s="44">
        <f t="shared" si="1"/>
        <v>0.9</v>
      </c>
      <c r="K52" s="87">
        <f t="shared" si="2"/>
        <v>153</v>
      </c>
      <c r="L52" s="119">
        <f t="shared" si="3"/>
        <v>193</v>
      </c>
      <c r="M52" s="23">
        <v>88.18969999999999</v>
      </c>
      <c r="N52" s="23">
        <v>-36.3981</v>
      </c>
      <c r="O52" s="14">
        <f>-N52/M52</f>
        <v>0.4127250688005516</v>
      </c>
      <c r="P52" s="23">
        <v>47.052</v>
      </c>
      <c r="Q52" s="14">
        <f>-N52/P52</f>
        <v>0.7735717929099719</v>
      </c>
      <c r="R52" s="20">
        <f>O52*ExistingForestUptakeDuration</f>
        <v>12.381752064016547</v>
      </c>
      <c r="S52" s="119"/>
      <c r="T52" s="20">
        <f t="shared" si="4"/>
        <v>205.38175206401655</v>
      </c>
      <c r="U52" s="20"/>
    </row>
    <row r="53" spans="1:21" ht="15">
      <c r="A53" s="4" t="s">
        <v>160</v>
      </c>
      <c r="B53" s="4" t="s">
        <v>165</v>
      </c>
      <c r="C53" s="38" t="s">
        <v>120</v>
      </c>
      <c r="D53" s="28">
        <v>0</v>
      </c>
      <c r="E53" s="19">
        <f t="shared" si="5"/>
        <v>0</v>
      </c>
      <c r="F53" s="91">
        <v>90</v>
      </c>
      <c r="G53" s="10">
        <v>90</v>
      </c>
      <c r="H53" s="24">
        <v>0.25</v>
      </c>
      <c r="I53" s="8">
        <f t="shared" si="6"/>
        <v>22.5</v>
      </c>
      <c r="J53" s="44">
        <f t="shared" si="1"/>
        <v>0.9</v>
      </c>
      <c r="K53" s="87">
        <f t="shared" si="2"/>
        <v>81</v>
      </c>
      <c r="L53" s="119">
        <f t="shared" si="3"/>
        <v>103.5</v>
      </c>
      <c r="M53" s="23">
        <v>38.5222</v>
      </c>
      <c r="N53" s="23">
        <v>-2.1345</v>
      </c>
      <c r="O53" s="14">
        <f>-N53/M53</f>
        <v>0.055409607966315534</v>
      </c>
      <c r="P53" s="23">
        <v>47.052</v>
      </c>
      <c r="Q53" s="14">
        <f>-N53/P53</f>
        <v>0.04536470288191788</v>
      </c>
      <c r="R53" s="20">
        <f>O53*ExistingForestUptakeDuration</f>
        <v>1.662288238989466</v>
      </c>
      <c r="S53" s="119"/>
      <c r="T53" s="20">
        <f t="shared" si="4"/>
        <v>105.16228823898946</v>
      </c>
      <c r="U53" s="20"/>
    </row>
    <row r="54" spans="1:21" ht="15">
      <c r="A54" s="4" t="s">
        <v>160</v>
      </c>
      <c r="B54" s="4" t="s">
        <v>217</v>
      </c>
      <c r="C54" s="38" t="s">
        <v>120</v>
      </c>
      <c r="D54" s="28">
        <v>0</v>
      </c>
      <c r="E54" s="19">
        <f t="shared" si="5"/>
        <v>0</v>
      </c>
      <c r="F54" s="91">
        <v>150</v>
      </c>
      <c r="G54" s="10">
        <v>100</v>
      </c>
      <c r="H54" s="24">
        <v>0.25</v>
      </c>
      <c r="I54" s="8">
        <f t="shared" si="6"/>
        <v>25</v>
      </c>
      <c r="J54" s="44">
        <f t="shared" si="1"/>
        <v>0.9</v>
      </c>
      <c r="K54" s="87">
        <f t="shared" si="2"/>
        <v>135</v>
      </c>
      <c r="L54" s="119">
        <f t="shared" si="3"/>
        <v>160</v>
      </c>
      <c r="M54" s="23">
        <v>24.1453</v>
      </c>
      <c r="N54" s="23">
        <v>0</v>
      </c>
      <c r="O54" s="14">
        <f>-N54/M54</f>
        <v>0</v>
      </c>
      <c r="P54" s="23">
        <v>1.0481</v>
      </c>
      <c r="Q54" s="14">
        <f>-N54/P54</f>
        <v>0</v>
      </c>
      <c r="R54" s="20">
        <f>O54*ExistingForestUptakeDuration</f>
        <v>0</v>
      </c>
      <c r="S54" s="119"/>
      <c r="T54" s="20">
        <f t="shared" si="4"/>
        <v>160</v>
      </c>
      <c r="U54" s="20"/>
    </row>
    <row r="55" spans="1:21" ht="15">
      <c r="A55" s="4" t="s">
        <v>160</v>
      </c>
      <c r="B55" s="4" t="s">
        <v>218</v>
      </c>
      <c r="C55" s="38" t="s">
        <v>120</v>
      </c>
      <c r="D55" s="28">
        <v>0.012</v>
      </c>
      <c r="E55" s="19">
        <f t="shared" si="5"/>
        <v>0.02317497103128621</v>
      </c>
      <c r="F55" s="91">
        <v>200</v>
      </c>
      <c r="G55" s="10">
        <v>160</v>
      </c>
      <c r="H55" s="24">
        <v>0.25</v>
      </c>
      <c r="I55" s="8">
        <f t="shared" si="6"/>
        <v>40</v>
      </c>
      <c r="J55" s="44">
        <f t="shared" si="1"/>
        <v>0.9</v>
      </c>
      <c r="K55" s="87">
        <f t="shared" si="2"/>
        <v>180</v>
      </c>
      <c r="L55" s="119">
        <f t="shared" si="3"/>
        <v>220</v>
      </c>
      <c r="M55" s="23">
        <v>29.1691</v>
      </c>
      <c r="N55" s="23">
        <v>-23.612199999999998</v>
      </c>
      <c r="O55" s="14">
        <f>-N55/M55</f>
        <v>0.80949360796185</v>
      </c>
      <c r="P55" s="23">
        <v>14.6798</v>
      </c>
      <c r="Q55" s="14">
        <f>-N55/P55</f>
        <v>1.6084824043924302</v>
      </c>
      <c r="R55" s="20">
        <f>O55*ExistingForestUptakeDuration</f>
        <v>24.2848082388555</v>
      </c>
      <c r="S55" s="119"/>
      <c r="T55" s="20">
        <f t="shared" si="4"/>
        <v>244.2848082388555</v>
      </c>
      <c r="U55" s="20"/>
    </row>
    <row r="56" spans="1:21" ht="15">
      <c r="A56" s="4" t="s">
        <v>160</v>
      </c>
      <c r="B56" s="4" t="s">
        <v>166</v>
      </c>
      <c r="C56" s="38" t="s">
        <v>121</v>
      </c>
      <c r="D56" s="28">
        <v>0</v>
      </c>
      <c r="E56" s="19">
        <f t="shared" si="5"/>
        <v>0</v>
      </c>
      <c r="F56" s="91">
        <v>40</v>
      </c>
      <c r="G56" s="10">
        <v>80</v>
      </c>
      <c r="H56" s="24">
        <v>0.25</v>
      </c>
      <c r="I56" s="8">
        <f t="shared" si="6"/>
        <v>20</v>
      </c>
      <c r="J56" s="44">
        <f t="shared" si="1"/>
        <v>0.9</v>
      </c>
      <c r="K56" s="87">
        <f t="shared" si="2"/>
        <v>36</v>
      </c>
      <c r="L56" s="119">
        <f t="shared" si="3"/>
        <v>56</v>
      </c>
      <c r="M56" s="23">
        <v>6.1978</v>
      </c>
      <c r="N56" s="20"/>
      <c r="O56" s="14"/>
      <c r="P56" s="20"/>
      <c r="Q56" s="14"/>
      <c r="R56" s="20"/>
      <c r="S56" s="119"/>
      <c r="T56" s="20">
        <f t="shared" si="4"/>
        <v>56</v>
      </c>
      <c r="U56" s="20"/>
    </row>
    <row r="57" spans="1:21" ht="15">
      <c r="A57" s="4" t="s">
        <v>160</v>
      </c>
      <c r="B57" s="4" t="s">
        <v>167</v>
      </c>
      <c r="C57" s="38" t="s">
        <v>121</v>
      </c>
      <c r="D57" s="28">
        <v>0.31916</v>
      </c>
      <c r="E57" s="19">
        <f t="shared" si="5"/>
        <v>0.6163769795287756</v>
      </c>
      <c r="F57" s="91">
        <v>10</v>
      </c>
      <c r="G57" s="10">
        <v>80</v>
      </c>
      <c r="H57" s="24">
        <v>0.25</v>
      </c>
      <c r="I57" s="8">
        <f t="shared" si="6"/>
        <v>20</v>
      </c>
      <c r="J57" s="44">
        <f>USGrasslandFactor</f>
        <v>0.9</v>
      </c>
      <c r="K57" s="87">
        <f t="shared" si="2"/>
        <v>9</v>
      </c>
      <c r="L57" s="119">
        <f t="shared" si="3"/>
        <v>29</v>
      </c>
      <c r="M57" s="20"/>
      <c r="N57" s="20"/>
      <c r="O57" s="14"/>
      <c r="P57" s="20"/>
      <c r="Q57" s="14"/>
      <c r="R57" s="20"/>
      <c r="S57" s="119"/>
      <c r="T57" s="20">
        <f t="shared" si="4"/>
        <v>29</v>
      </c>
      <c r="U57" s="20"/>
    </row>
    <row r="58" spans="2:21" ht="15">
      <c r="B58" s="4" t="s">
        <v>186</v>
      </c>
      <c r="C58" s="38"/>
      <c r="D58" s="14">
        <f>SUM(D51:D57)</f>
        <v>0.5178</v>
      </c>
      <c r="E58" s="19">
        <f>SUM(E51:E57)</f>
        <v>1</v>
      </c>
      <c r="F58" s="20">
        <f>SUMPRODUCT($E51:$E57,F51:F57)</f>
        <v>71.75048281189649</v>
      </c>
      <c r="G58" s="6"/>
      <c r="H58" s="6"/>
      <c r="I58" s="20">
        <f>SUMPRODUCT($E51:$E57,I51:I57)</f>
        <v>27.631904210119735</v>
      </c>
      <c r="J58" s="16"/>
      <c r="K58" s="89"/>
      <c r="L58" s="119">
        <f>SUMPRODUCT($E51:$E57,L51:L57)</f>
        <v>92.20733874082657</v>
      </c>
      <c r="M58" s="20"/>
      <c r="N58" s="20"/>
      <c r="O58" s="14"/>
      <c r="P58" s="20"/>
      <c r="Q58" s="14"/>
      <c r="R58" s="20">
        <f>SUMPRODUCT(E51:E57,R51:R57)</f>
        <v>5.134387346827364</v>
      </c>
      <c r="S58" s="119"/>
      <c r="T58" s="20">
        <f>SUMPRODUCT(E51:E57,T51:T57)</f>
        <v>97.34172608765394</v>
      </c>
      <c r="U58" s="20"/>
    </row>
    <row r="59" spans="2:21" ht="15">
      <c r="B59" s="4" t="s">
        <v>112</v>
      </c>
      <c r="C59" s="38"/>
      <c r="D59" s="14" t="s">
        <v>114</v>
      </c>
      <c r="E59" s="52">
        <f>SUM(D51:D55,D57)/$D$93</f>
        <v>0.006776236322877586</v>
      </c>
      <c r="F59" s="17">
        <f>SUMPRODUCT($E51:$E55,K51:K55)/SUM($E51:$E55)</f>
        <v>153.86991542488923</v>
      </c>
      <c r="G59" s="6"/>
      <c r="H59" s="6"/>
      <c r="I59" s="17">
        <f>SUMPRODUCT($E51:$E55,I51:I55)/SUM($E51:$E55)</f>
        <v>39.8942811115586</v>
      </c>
      <c r="J59" s="16"/>
      <c r="K59" s="89"/>
      <c r="L59" s="119"/>
      <c r="M59" s="20"/>
      <c r="N59" s="20"/>
      <c r="O59" s="25">
        <f>SUMPRODUCT($E51:$E55,O51:O55)/SUM($E51:$E55)</f>
        <v>0.4461313210140975</v>
      </c>
      <c r="P59" s="14"/>
      <c r="Q59" s="25">
        <f>SUMPRODUCT($E51:$E55,Q51:Q55)/SUM($E51:$E55)</f>
        <v>0.8302974803752967</v>
      </c>
      <c r="R59" s="20"/>
      <c r="S59" s="119"/>
      <c r="T59" s="17">
        <f>SUMPRODUCT($E51:$E55,T51:T55)</f>
        <v>79.46679368131944</v>
      </c>
      <c r="U59" s="17"/>
    </row>
    <row r="60" spans="2:21" ht="15">
      <c r="B60" s="4" t="s">
        <v>113</v>
      </c>
      <c r="C60" s="38"/>
      <c r="D60" s="14" t="s">
        <v>114</v>
      </c>
      <c r="E60" s="52">
        <f>SUM(D56:D57)/$D$93</f>
        <v>0.004176716077268464</v>
      </c>
      <c r="F60" s="17">
        <f>SUMPRODUCT($E56:$E57,K56:K57)/SUM($E56:$E57)</f>
        <v>9</v>
      </c>
      <c r="G60" s="6"/>
      <c r="H60" s="6"/>
      <c r="I60" s="17">
        <f>SUMPRODUCT($E56:$E57,I56:I57)/SUM($E56:$E57)</f>
        <v>20</v>
      </c>
      <c r="J60" s="16"/>
      <c r="K60" s="89"/>
      <c r="L60" s="119"/>
      <c r="M60" s="20"/>
      <c r="N60" s="20"/>
      <c r="O60" s="14"/>
      <c r="P60" s="20"/>
      <c r="Q60" s="14"/>
      <c r="R60" s="20"/>
      <c r="S60" s="119"/>
      <c r="T60" s="17">
        <f>SUMPRODUCT($E56:$E57,T56:T57)</f>
        <v>17.87493240633449</v>
      </c>
      <c r="U60" s="17"/>
    </row>
    <row r="61" spans="3:21" ht="15">
      <c r="C61" s="38"/>
      <c r="D61" s="14"/>
      <c r="E61" s="19"/>
      <c r="F61" s="6"/>
      <c r="G61" s="6"/>
      <c r="H61" s="6"/>
      <c r="I61" s="20"/>
      <c r="J61" s="16"/>
      <c r="K61" s="89"/>
      <c r="L61" s="119"/>
      <c r="M61" s="20"/>
      <c r="N61" s="20"/>
      <c r="O61" s="14"/>
      <c r="P61" s="20"/>
      <c r="Q61" s="14"/>
      <c r="R61" s="20"/>
      <c r="S61" s="119"/>
      <c r="T61" s="20"/>
      <c r="U61" s="20"/>
    </row>
    <row r="62" spans="1:21" ht="15">
      <c r="A62" s="4" t="s">
        <v>157</v>
      </c>
      <c r="B62" s="4" t="s">
        <v>83</v>
      </c>
      <c r="C62" s="38" t="s">
        <v>120</v>
      </c>
      <c r="D62" s="28">
        <v>0.6769999999999996</v>
      </c>
      <c r="E62" s="19">
        <f>D62/$D$69</f>
        <v>0.030618659743924883</v>
      </c>
      <c r="F62" s="91">
        <v>200</v>
      </c>
      <c r="G62" s="10">
        <v>98</v>
      </c>
      <c r="H62" s="130">
        <v>0.25</v>
      </c>
      <c r="I62" s="8">
        <f aca="true" t="shared" si="7" ref="I62:I68">G62*H62</f>
        <v>24.5</v>
      </c>
      <c r="J62" s="44">
        <f>AmazonRainforestFactor</f>
        <v>0.9</v>
      </c>
      <c r="K62" s="87">
        <f t="shared" si="2"/>
        <v>180</v>
      </c>
      <c r="L62" s="119">
        <f aca="true" t="shared" si="8" ref="L62:L68">I62+K62</f>
        <v>204.5</v>
      </c>
      <c r="M62" s="23">
        <v>296.2613286367099</v>
      </c>
      <c r="N62" s="20">
        <v>0</v>
      </c>
      <c r="O62" s="14">
        <f>-N62/M62</f>
        <v>0</v>
      </c>
      <c r="P62" s="20">
        <v>0</v>
      </c>
      <c r="Q62" s="14"/>
      <c r="R62" s="20">
        <f>O62*ExistingForestUptakeDuration</f>
        <v>0</v>
      </c>
      <c r="S62" s="119"/>
      <c r="T62" s="20">
        <f aca="true" t="shared" si="9" ref="T62:T68">L62+R62</f>
        <v>204.5</v>
      </c>
      <c r="U62" s="20"/>
    </row>
    <row r="63" spans="1:21" ht="15">
      <c r="A63" s="4" t="s">
        <v>157</v>
      </c>
      <c r="B63" s="4" t="s">
        <v>90</v>
      </c>
      <c r="C63" s="38" t="s">
        <v>120</v>
      </c>
      <c r="D63" s="28">
        <v>4.871600000000001</v>
      </c>
      <c r="E63" s="19">
        <f aca="true" t="shared" si="10" ref="E63:E68">D63/$D$69</f>
        <v>0.2203277146359004</v>
      </c>
      <c r="F63" s="91">
        <v>140</v>
      </c>
      <c r="G63" s="10">
        <v>98</v>
      </c>
      <c r="H63" s="130">
        <v>0.25</v>
      </c>
      <c r="I63" s="8">
        <f t="shared" si="7"/>
        <v>24.5</v>
      </c>
      <c r="J63" s="44">
        <f>AmazonRainforestFactor</f>
        <v>0.9</v>
      </c>
      <c r="K63" s="87">
        <f t="shared" si="2"/>
        <v>126</v>
      </c>
      <c r="L63" s="119">
        <f t="shared" si="8"/>
        <v>150.5</v>
      </c>
      <c r="M63" s="23">
        <v>537.3469939832445</v>
      </c>
      <c r="N63" s="23">
        <v>-164.15300000000002</v>
      </c>
      <c r="O63" s="14">
        <f>-N63/M63</f>
        <v>0.30548789113560876</v>
      </c>
      <c r="P63" s="23">
        <v>45.5981</v>
      </c>
      <c r="Q63" s="14">
        <f>-N63/P63</f>
        <v>3.5999964910818654</v>
      </c>
      <c r="R63" s="20">
        <f>O63*ExistingForestUptakeDuration</f>
        <v>9.164636734068262</v>
      </c>
      <c r="S63" s="119"/>
      <c r="T63" s="20">
        <f t="shared" si="9"/>
        <v>159.66463673406827</v>
      </c>
      <c r="U63" s="20"/>
    </row>
    <row r="64" spans="1:21" ht="15">
      <c r="A64" s="4" t="s">
        <v>157</v>
      </c>
      <c r="B64" s="4" t="s">
        <v>91</v>
      </c>
      <c r="C64" s="38" t="s">
        <v>120</v>
      </c>
      <c r="D64" s="28">
        <v>10.302199999999992</v>
      </c>
      <c r="E64" s="19">
        <f t="shared" si="10"/>
        <v>0.46593730637202785</v>
      </c>
      <c r="F64" s="91">
        <v>55</v>
      </c>
      <c r="G64" s="10">
        <v>69</v>
      </c>
      <c r="H64" s="130">
        <v>0.25</v>
      </c>
      <c r="I64" s="8">
        <f t="shared" si="7"/>
        <v>17.25</v>
      </c>
      <c r="J64" s="44">
        <f>AmazonRainforestFactor</f>
        <v>0.9</v>
      </c>
      <c r="K64" s="87">
        <f t="shared" si="2"/>
        <v>49.5</v>
      </c>
      <c r="L64" s="119">
        <f t="shared" si="8"/>
        <v>66.75</v>
      </c>
      <c r="M64" s="23">
        <v>252.46470213252098</v>
      </c>
      <c r="N64" s="20">
        <v>0</v>
      </c>
      <c r="O64" s="14">
        <f>-N64/M64</f>
        <v>0</v>
      </c>
      <c r="P64" s="20">
        <v>0</v>
      </c>
      <c r="Q64" s="14"/>
      <c r="R64" s="20">
        <f>O64*ExistingForestUptakeDuration</f>
        <v>0</v>
      </c>
      <c r="S64" s="119"/>
      <c r="T64" s="20">
        <f t="shared" si="9"/>
        <v>66.75</v>
      </c>
      <c r="U64" s="20"/>
    </row>
    <row r="65" spans="1:21" ht="15">
      <c r="A65" s="4" t="s">
        <v>157</v>
      </c>
      <c r="B65" s="4" t="s">
        <v>86</v>
      </c>
      <c r="C65" s="38" t="s">
        <v>120</v>
      </c>
      <c r="D65" s="28">
        <v>0.6769999999999996</v>
      </c>
      <c r="E65" s="19">
        <f t="shared" si="10"/>
        <v>0.030618659743924883</v>
      </c>
      <c r="F65" s="91">
        <v>168</v>
      </c>
      <c r="G65" s="10">
        <v>134</v>
      </c>
      <c r="H65" s="130">
        <v>0.25</v>
      </c>
      <c r="I65" s="8">
        <f t="shared" si="7"/>
        <v>33.5</v>
      </c>
      <c r="J65" s="44">
        <f>WoodyCerradoFactor</f>
        <v>0.9</v>
      </c>
      <c r="K65" s="87">
        <f t="shared" si="2"/>
        <v>151.20000000000002</v>
      </c>
      <c r="L65" s="119">
        <f t="shared" si="8"/>
        <v>184.70000000000002</v>
      </c>
      <c r="M65" s="23">
        <v>53.60860974866722</v>
      </c>
      <c r="N65" s="23">
        <v>-48.9267</v>
      </c>
      <c r="O65" s="14">
        <f>-N65/M65</f>
        <v>0.9126649661198568</v>
      </c>
      <c r="P65" s="23">
        <v>14.6781</v>
      </c>
      <c r="Q65" s="14">
        <f>-N65/P65</f>
        <v>3.333312894720706</v>
      </c>
      <c r="R65" s="20">
        <f>O65*ExistingForestUptakeDuration</f>
        <v>27.379948983595703</v>
      </c>
      <c r="S65" s="119"/>
      <c r="T65" s="20">
        <f t="shared" si="9"/>
        <v>212.07994898359573</v>
      </c>
      <c r="U65" s="20"/>
    </row>
    <row r="66" spans="1:21" ht="15">
      <c r="A66" s="4" t="s">
        <v>157</v>
      </c>
      <c r="B66" s="4" t="s">
        <v>92</v>
      </c>
      <c r="C66" s="38" t="s">
        <v>120</v>
      </c>
      <c r="D66" s="28">
        <v>0.16159999999999997</v>
      </c>
      <c r="E66" s="19">
        <f t="shared" si="10"/>
        <v>0.007308678603572028</v>
      </c>
      <c r="F66" s="91">
        <v>100</v>
      </c>
      <c r="G66" s="10">
        <v>134</v>
      </c>
      <c r="H66" s="130">
        <v>0.25</v>
      </c>
      <c r="I66" s="8">
        <f t="shared" si="7"/>
        <v>33.5</v>
      </c>
      <c r="J66" s="44">
        <f>WoodyCerradoFactor</f>
        <v>0.9</v>
      </c>
      <c r="K66" s="87">
        <f t="shared" si="2"/>
        <v>90</v>
      </c>
      <c r="L66" s="119">
        <f t="shared" si="8"/>
        <v>123.5</v>
      </c>
      <c r="M66" s="23">
        <v>55.436465498857544</v>
      </c>
      <c r="N66" s="20">
        <v>0</v>
      </c>
      <c r="O66" s="14">
        <f>-N66/M66</f>
        <v>0</v>
      </c>
      <c r="P66" s="20">
        <v>0</v>
      </c>
      <c r="Q66" s="14"/>
      <c r="R66" s="20">
        <f>O66*ExistingForestUptakeDuration</f>
        <v>0</v>
      </c>
      <c r="S66" s="119"/>
      <c r="T66" s="20">
        <f t="shared" si="9"/>
        <v>123.5</v>
      </c>
      <c r="U66" s="20"/>
    </row>
    <row r="67" spans="1:21" ht="15">
      <c r="A67" s="4" t="s">
        <v>157</v>
      </c>
      <c r="B67" s="4" t="s">
        <v>167</v>
      </c>
      <c r="C67" s="38" t="s">
        <v>121</v>
      </c>
      <c r="D67" s="28">
        <v>5.307699999999997</v>
      </c>
      <c r="E67" s="19">
        <f t="shared" si="10"/>
        <v>0.2400511969318022</v>
      </c>
      <c r="F67" s="91">
        <v>10</v>
      </c>
      <c r="G67" s="10">
        <v>42</v>
      </c>
      <c r="H67" s="130">
        <v>0.25</v>
      </c>
      <c r="I67" s="8">
        <f t="shared" si="7"/>
        <v>10.5</v>
      </c>
      <c r="J67" s="44">
        <f>GrassyCerradoFactor</f>
        <v>0.9</v>
      </c>
      <c r="K67" s="87">
        <f t="shared" si="2"/>
        <v>9</v>
      </c>
      <c r="L67" s="119">
        <f t="shared" si="8"/>
        <v>19.5</v>
      </c>
      <c r="M67" s="23">
        <v>6.88289999999995</v>
      </c>
      <c r="N67" s="20"/>
      <c r="O67" s="14"/>
      <c r="P67" s="20"/>
      <c r="Q67" s="14"/>
      <c r="R67" s="20"/>
      <c r="S67" s="119"/>
      <c r="T67" s="20">
        <f t="shared" si="9"/>
        <v>19.5</v>
      </c>
      <c r="U67" s="20"/>
    </row>
    <row r="68" spans="1:21" ht="15">
      <c r="A68" s="4" t="s">
        <v>157</v>
      </c>
      <c r="B68" s="3" t="s">
        <v>175</v>
      </c>
      <c r="C68" s="38" t="s">
        <v>121</v>
      </c>
      <c r="D68" s="28">
        <v>0.11360000000000015</v>
      </c>
      <c r="E68" s="19">
        <f t="shared" si="10"/>
        <v>0.00513778396884767</v>
      </c>
      <c r="F68" s="91">
        <v>6</v>
      </c>
      <c r="G68" s="10">
        <v>58</v>
      </c>
      <c r="H68" s="130">
        <v>0.25</v>
      </c>
      <c r="I68" s="8">
        <f t="shared" si="7"/>
        <v>14.5</v>
      </c>
      <c r="J68" s="44">
        <f>UnspecifiedFactor</f>
        <v>0.9</v>
      </c>
      <c r="K68" s="87">
        <f t="shared" si="2"/>
        <v>5.4</v>
      </c>
      <c r="L68" s="119">
        <f t="shared" si="8"/>
        <v>19.9</v>
      </c>
      <c r="M68" s="23">
        <v>30.660300000000007</v>
      </c>
      <c r="N68" s="20"/>
      <c r="O68" s="14"/>
      <c r="P68" s="20"/>
      <c r="Q68" s="14"/>
      <c r="R68" s="20"/>
      <c r="S68" s="119"/>
      <c r="T68" s="20">
        <f t="shared" si="9"/>
        <v>19.9</v>
      </c>
      <c r="U68" s="20"/>
    </row>
    <row r="69" spans="2:21" ht="15">
      <c r="B69" s="4" t="s">
        <v>186</v>
      </c>
      <c r="C69" s="38"/>
      <c r="D69" s="14">
        <f>SUM(D62:D68)</f>
        <v>22.11069999999999</v>
      </c>
      <c r="E69" s="19">
        <f>SUM(E62:E68)</f>
        <v>0.9999999999999998</v>
      </c>
      <c r="F69" s="20">
        <f>SUMPRODUCT($E62:$E68,F62:F68)</f>
        <v>70.90230521874027</v>
      </c>
      <c r="G69" s="6"/>
      <c r="H69" s="6"/>
      <c r="I69" s="20">
        <f>SUMPRODUCT($E62:$E68,I62:I68)</f>
        <v>18.05120597719656</v>
      </c>
      <c r="J69" s="16"/>
      <c r="K69" s="89"/>
      <c r="L69" s="119">
        <f>SUMPRODUCT($E62:$E68,L62:L68)</f>
        <v>81.8632806740628</v>
      </c>
      <c r="M69" s="20"/>
      <c r="N69" s="20"/>
      <c r="O69" s="14"/>
      <c r="P69" s="20"/>
      <c r="Q69" s="14"/>
      <c r="R69" s="20">
        <f>SUMPRODUCT(E62:E68,R62:R68)</f>
        <v>2.857560808820221</v>
      </c>
      <c r="S69" s="119"/>
      <c r="T69" s="20">
        <f>SUMPRODUCT(E62:E68,T62:T68)</f>
        <v>84.72084148288303</v>
      </c>
      <c r="U69" s="20"/>
    </row>
    <row r="70" spans="2:21" ht="15">
      <c r="B70" s="4" t="s">
        <v>112</v>
      </c>
      <c r="C70" s="38"/>
      <c r="D70" s="14" t="s">
        <v>114</v>
      </c>
      <c r="E70" s="52">
        <f>SUM(D62:D66)/$D$93</f>
        <v>0.21840733581891297</v>
      </c>
      <c r="F70" s="17">
        <f>SUMPRODUCT($E62:$E66,K62:K66)/SUM($E62:$E66)</f>
        <v>81.6414550553046</v>
      </c>
      <c r="G70" s="6"/>
      <c r="H70" s="6"/>
      <c r="I70" s="17">
        <f>SUMPRODUCT($E62:$E66,I62:I66)/SUM($E62:$E66)</f>
        <v>20.476874543123184</v>
      </c>
      <c r="J70" s="16"/>
      <c r="K70" s="89"/>
      <c r="L70" s="119"/>
      <c r="M70" s="20"/>
      <c r="N70" s="20"/>
      <c r="O70" s="25">
        <f>SUMPRODUCT($E62:$E66,O62:O66)/SUM($E62:$E66)</f>
        <v>0.12619321200998096</v>
      </c>
      <c r="P70" s="14"/>
      <c r="Q70" s="25">
        <f>SUMPRODUCT($E62:$E66,Q62:Q66)</f>
        <v>0.8952405729208186</v>
      </c>
      <c r="R70" s="20"/>
      <c r="S70" s="119"/>
      <c r="T70" s="20"/>
      <c r="U70" s="20"/>
    </row>
    <row r="71" spans="2:21" ht="15">
      <c r="B71" s="4" t="s">
        <v>113</v>
      </c>
      <c r="C71" s="38"/>
      <c r="D71" s="14" t="s">
        <v>114</v>
      </c>
      <c r="E71" s="52">
        <f>SUM(D67:D68)/$D$93</f>
        <v>0.07094633058558562</v>
      </c>
      <c r="F71" s="17">
        <f>SUMPRODUCT($E67:$E68,K67:K68)/SUM($E67:$E68)</f>
        <v>8.924564218914282</v>
      </c>
      <c r="G71" s="6"/>
      <c r="H71" s="6"/>
      <c r="I71" s="17">
        <f>SUMPRODUCT($E67:$E68,I67:I68)/SUM($E67:$E68)</f>
        <v>10.583817534539683</v>
      </c>
      <c r="J71" s="16"/>
      <c r="K71" s="89"/>
      <c r="L71" s="119"/>
      <c r="M71" s="20"/>
      <c r="N71" s="20"/>
      <c r="O71" s="14"/>
      <c r="P71" s="20"/>
      <c r="Q71" s="14"/>
      <c r="R71" s="20"/>
      <c r="S71" s="119"/>
      <c r="T71" s="20"/>
      <c r="U71" s="20"/>
    </row>
    <row r="72" spans="3:21" ht="15">
      <c r="C72" s="38"/>
      <c r="D72" s="14"/>
      <c r="E72" s="19"/>
      <c r="F72" s="6"/>
      <c r="G72" s="6"/>
      <c r="H72" s="6"/>
      <c r="I72" s="20"/>
      <c r="J72" s="16"/>
      <c r="K72" s="89"/>
      <c r="L72" s="119"/>
      <c r="M72" s="20"/>
      <c r="N72" s="20"/>
      <c r="O72" s="14"/>
      <c r="P72" s="20"/>
      <c r="Q72" s="14"/>
      <c r="R72" s="20"/>
      <c r="S72" s="119"/>
      <c r="T72" s="20"/>
      <c r="U72" s="20"/>
    </row>
    <row r="73" spans="1:21" ht="15">
      <c r="A73" s="4" t="s">
        <v>202</v>
      </c>
      <c r="B73" s="4" t="s">
        <v>82</v>
      </c>
      <c r="C73" s="38" t="s">
        <v>120</v>
      </c>
      <c r="D73" s="28">
        <v>18.391399999999994</v>
      </c>
      <c r="E73" s="19">
        <f>D73/$D$76</f>
        <v>0.7567387413335526</v>
      </c>
      <c r="F73" s="91">
        <v>250</v>
      </c>
      <c r="G73" s="10">
        <v>120</v>
      </c>
      <c r="H73" s="24">
        <v>0.25</v>
      </c>
      <c r="I73" s="7">
        <f>G73*H73</f>
        <v>30</v>
      </c>
      <c r="J73" s="44">
        <f>LowlandRainforestFactor</f>
        <v>0.9</v>
      </c>
      <c r="K73" s="87">
        <f>F73*J73</f>
        <v>225</v>
      </c>
      <c r="L73" s="119">
        <f>I73+K73</f>
        <v>255</v>
      </c>
      <c r="M73" s="23">
        <v>159.4307</v>
      </c>
      <c r="N73" s="23">
        <v>-171.05069999999998</v>
      </c>
      <c r="O73" s="14">
        <f>-N73/M73</f>
        <v>1.0728843315622398</v>
      </c>
      <c r="P73" s="23">
        <v>70.8848</v>
      </c>
      <c r="Q73" s="14">
        <f>-N73/P73</f>
        <v>2.4130800961560164</v>
      </c>
      <c r="R73" s="20">
        <f>O73*ExistingForestUptakeDuration</f>
        <v>32.186529946867196</v>
      </c>
      <c r="S73" s="119"/>
      <c r="T73" s="20">
        <f>L73+R73</f>
        <v>287.1865299468672</v>
      </c>
      <c r="U73" s="20"/>
    </row>
    <row r="74" spans="1:21" ht="15">
      <c r="A74" s="4" t="s">
        <v>202</v>
      </c>
      <c r="B74" s="4" t="s">
        <v>90</v>
      </c>
      <c r="C74" s="38" t="s">
        <v>120</v>
      </c>
      <c r="D74" s="28">
        <v>4.638000000000005</v>
      </c>
      <c r="E74" s="19">
        <f>D74/$D$76</f>
        <v>0.19083671076182465</v>
      </c>
      <c r="F74" s="91">
        <v>150</v>
      </c>
      <c r="G74" s="10">
        <v>80</v>
      </c>
      <c r="H74" s="24">
        <v>0.25</v>
      </c>
      <c r="I74" s="7">
        <f>G74*H74</f>
        <v>20</v>
      </c>
      <c r="J74" s="44">
        <f>LowlandRainforestFactor</f>
        <v>0.9</v>
      </c>
      <c r="K74" s="87">
        <f>F74*J74</f>
        <v>135</v>
      </c>
      <c r="L74" s="119">
        <f>I74+K74</f>
        <v>155</v>
      </c>
      <c r="M74" s="23">
        <v>137.6225</v>
      </c>
      <c r="N74" s="23">
        <v>-108.0053</v>
      </c>
      <c r="O74" s="14">
        <f>-N74/M74</f>
        <v>0.7847939108793984</v>
      </c>
      <c r="P74" s="23">
        <v>52.3925</v>
      </c>
      <c r="Q74" s="14">
        <f>-N74/P74</f>
        <v>2.06146490432791</v>
      </c>
      <c r="R74" s="20">
        <f>O74*ExistingForestUptakeDuration</f>
        <v>23.54381732638195</v>
      </c>
      <c r="S74" s="119"/>
      <c r="T74" s="20">
        <f>L74+R74</f>
        <v>178.54381732638194</v>
      </c>
      <c r="U74" s="20"/>
    </row>
    <row r="75" spans="1:21" ht="15">
      <c r="A75" s="4" t="s">
        <v>202</v>
      </c>
      <c r="B75" s="4" t="s">
        <v>219</v>
      </c>
      <c r="C75" s="38" t="s">
        <v>120</v>
      </c>
      <c r="D75" s="28">
        <v>1.2741000000000011</v>
      </c>
      <c r="E75" s="19">
        <f>D75/$D$76</f>
        <v>0.05242454790462284</v>
      </c>
      <c r="F75" s="91">
        <v>60</v>
      </c>
      <c r="G75" s="10">
        <v>50</v>
      </c>
      <c r="H75" s="24">
        <v>0.25</v>
      </c>
      <c r="I75" s="8">
        <f>G75*H75</f>
        <v>12.5</v>
      </c>
      <c r="J75" s="44">
        <f>LowlandRainforestFactor</f>
        <v>0.9</v>
      </c>
      <c r="K75" s="87">
        <f>F75*J75</f>
        <v>54</v>
      </c>
      <c r="L75" s="119">
        <f>I75+K75</f>
        <v>66.5</v>
      </c>
      <c r="M75" s="23">
        <v>44.8504</v>
      </c>
      <c r="N75" s="23">
        <v>-15.9769</v>
      </c>
      <c r="O75" s="14">
        <f>-N75/M75</f>
        <v>0.35622647735583185</v>
      </c>
      <c r="P75" s="23">
        <v>18.4265</v>
      </c>
      <c r="Q75" s="14">
        <v>0.8670610262393835</v>
      </c>
      <c r="R75" s="20">
        <f>O75*ExistingForestUptakeDuration</f>
        <v>10.686794320674956</v>
      </c>
      <c r="S75" s="119"/>
      <c r="T75" s="20">
        <f>L75+R75</f>
        <v>77.18679432067495</v>
      </c>
      <c r="U75" s="20"/>
    </row>
    <row r="76" spans="2:21" ht="15">
      <c r="B76" s="4" t="s">
        <v>186</v>
      </c>
      <c r="C76" s="38"/>
      <c r="D76" s="14">
        <f>SUM(D73:D75)</f>
        <v>24.3035</v>
      </c>
      <c r="E76" s="19">
        <f>SUM(E73:E75)</f>
        <v>1</v>
      </c>
      <c r="F76" s="20">
        <f>SUMPRODUCT($E73:$E75,F73:F75)</f>
        <v>220.9556648219392</v>
      </c>
      <c r="G76" s="17"/>
      <c r="H76" s="22"/>
      <c r="I76" s="20">
        <f>SUMPRODUCT($E73:$E75,I73:I75)</f>
        <v>27.174203304050856</v>
      </c>
      <c r="J76" s="16"/>
      <c r="K76" s="89"/>
      <c r="L76" s="119">
        <f>SUMPRODUCT($E73:$E75,L73:L75)</f>
        <v>226.03430164379614</v>
      </c>
      <c r="M76" s="20"/>
      <c r="N76" s="20"/>
      <c r="O76" s="14"/>
      <c r="P76" s="20"/>
      <c r="Q76" s="14"/>
      <c r="R76" s="20">
        <f>SUMPRODUCT(E73:E75,R73:R75)</f>
        <v>29.41006917804204</v>
      </c>
      <c r="S76" s="119"/>
      <c r="T76" s="20">
        <f>SUMPRODUCT(E73:E75,T73:T75)</f>
        <v>255.4443708218382</v>
      </c>
      <c r="U76" s="20"/>
    </row>
    <row r="77" spans="2:21" ht="15">
      <c r="B77" s="4" t="s">
        <v>112</v>
      </c>
      <c r="C77" s="38"/>
      <c r="D77" s="14" t="s">
        <v>114</v>
      </c>
      <c r="E77" s="52">
        <f>SUM(D73:D75)/$D$93</f>
        <v>0.31804994104491197</v>
      </c>
      <c r="F77" s="17">
        <f>SUMPRODUCT($E73:$E75,K73:K75)/SUM($E73:$E75)</f>
        <v>198.86009833974532</v>
      </c>
      <c r="G77" s="21"/>
      <c r="H77" s="22"/>
      <c r="I77" s="17">
        <f>SUMPRODUCT($E73:$E75,I73:I75)/SUM($E73:$E75)</f>
        <v>27.174203304050856</v>
      </c>
      <c r="J77" s="16"/>
      <c r="K77" s="89"/>
      <c r="L77" s="119"/>
      <c r="M77" s="20"/>
      <c r="N77" s="20"/>
      <c r="O77" s="25">
        <f>SUMPRODUCT($E73:$E75,O73:O75)/SUM($E73:$E75)</f>
        <v>0.980335639268068</v>
      </c>
      <c r="P77" s="14"/>
      <c r="Q77" s="25">
        <f>SUMPRODUCT($E73:$E75,Q73:Q75)</f>
        <v>2.2649296587013477</v>
      </c>
      <c r="R77" s="20"/>
      <c r="S77" s="119"/>
      <c r="T77" s="20"/>
      <c r="U77" s="20"/>
    </row>
    <row r="78" spans="2:21" ht="15">
      <c r="B78" s="4" t="s">
        <v>113</v>
      </c>
      <c r="C78" s="38"/>
      <c r="D78" s="14" t="s">
        <v>114</v>
      </c>
      <c r="E78" s="52">
        <v>0</v>
      </c>
      <c r="F78" s="17">
        <v>0</v>
      </c>
      <c r="G78" s="21"/>
      <c r="H78" s="22"/>
      <c r="I78" s="20">
        <v>0</v>
      </c>
      <c r="J78" s="16"/>
      <c r="K78" s="89"/>
      <c r="L78" s="119"/>
      <c r="M78" s="20"/>
      <c r="N78" s="20"/>
      <c r="O78" s="14"/>
      <c r="P78" s="20"/>
      <c r="Q78" s="14"/>
      <c r="R78" s="20"/>
      <c r="S78" s="119"/>
      <c r="T78" s="20"/>
      <c r="U78" s="20"/>
    </row>
    <row r="79" spans="3:21" ht="15">
      <c r="C79" s="38"/>
      <c r="D79" s="14"/>
      <c r="E79" s="19"/>
      <c r="F79" s="6"/>
      <c r="G79" s="6"/>
      <c r="H79" s="6"/>
      <c r="I79" s="20"/>
      <c r="J79" s="16"/>
      <c r="K79" s="89"/>
      <c r="L79" s="119"/>
      <c r="M79" s="20"/>
      <c r="N79" s="20"/>
      <c r="O79" s="14"/>
      <c r="P79" s="20"/>
      <c r="Q79" s="14"/>
      <c r="R79" s="20"/>
      <c r="S79" s="119"/>
      <c r="T79" s="20"/>
      <c r="U79" s="20"/>
    </row>
    <row r="80" spans="1:21" ht="15">
      <c r="A80" s="4" t="s">
        <v>154</v>
      </c>
      <c r="B80" s="4" t="s">
        <v>94</v>
      </c>
      <c r="C80" s="38" t="s">
        <v>120</v>
      </c>
      <c r="D80" s="28">
        <v>2.5486999999999984</v>
      </c>
      <c r="E80" s="19">
        <f>D80/$D$85</f>
        <v>0.10980711482204322</v>
      </c>
      <c r="F80" s="28">
        <v>126.74773367220584</v>
      </c>
      <c r="G80" s="10">
        <v>190</v>
      </c>
      <c r="H80" s="24">
        <v>0.25</v>
      </c>
      <c r="I80" s="8">
        <f>G80*H80</f>
        <v>47.5</v>
      </c>
      <c r="J80" s="44">
        <f>LowlandRainforestFactor</f>
        <v>0.9</v>
      </c>
      <c r="K80" s="87">
        <f>F80*J80</f>
        <v>114.07296030498526</v>
      </c>
      <c r="L80" s="119">
        <f>I80+K80</f>
        <v>161.57296030498526</v>
      </c>
      <c r="M80" s="23">
        <v>222.02300000000005</v>
      </c>
      <c r="N80" s="23">
        <v>-20.1786</v>
      </c>
      <c r="O80" s="14">
        <v>0.09088517856258133</v>
      </c>
      <c r="P80" s="23">
        <v>21.2889</v>
      </c>
      <c r="Q80" s="14">
        <f>-N80/P80</f>
        <v>0.9478460606231416</v>
      </c>
      <c r="R80" s="20">
        <f>O80*ExistingForestUptakeDuration</f>
        <v>2.72655535687744</v>
      </c>
      <c r="S80" s="119"/>
      <c r="T80" s="20">
        <f>L80+R80</f>
        <v>164.2995156618627</v>
      </c>
      <c r="U80" s="20"/>
    </row>
    <row r="81" spans="1:21" ht="15">
      <c r="A81" s="4" t="s">
        <v>154</v>
      </c>
      <c r="B81" s="4" t="s">
        <v>82</v>
      </c>
      <c r="C81" s="38" t="s">
        <v>120</v>
      </c>
      <c r="D81" s="28">
        <v>8.844000000000005</v>
      </c>
      <c r="E81" s="19">
        <f>D81/$D$85</f>
        <v>0.3810311623518466</v>
      </c>
      <c r="F81" s="28">
        <v>60.17710024771985</v>
      </c>
      <c r="G81" s="10">
        <v>115</v>
      </c>
      <c r="H81" s="24">
        <v>0.25</v>
      </c>
      <c r="I81" s="8">
        <f>G81*H81</f>
        <v>28.75</v>
      </c>
      <c r="J81" s="44">
        <f>LowlandRainforestFactor</f>
        <v>0.9</v>
      </c>
      <c r="K81" s="87">
        <f>F81*J81</f>
        <v>54.15939022294786</v>
      </c>
      <c r="L81" s="119">
        <f>I81+K81</f>
        <v>82.90939022294786</v>
      </c>
      <c r="M81" s="23">
        <v>190.23029999999997</v>
      </c>
      <c r="N81" s="23">
        <v>-19.854100000000003</v>
      </c>
      <c r="O81" s="14">
        <f>-N81/M81</f>
        <v>0.10436875723793741</v>
      </c>
      <c r="P81" s="23">
        <v>23.7342</v>
      </c>
      <c r="Q81" s="14">
        <f>-N81/P81</f>
        <v>0.8365186102754675</v>
      </c>
      <c r="R81" s="20">
        <f>O81*ExistingForestUptakeDuration</f>
        <v>3.1310627171381222</v>
      </c>
      <c r="S81" s="119"/>
      <c r="T81" s="20">
        <f>L81+R81</f>
        <v>86.04045294008598</v>
      </c>
      <c r="U81" s="20"/>
    </row>
    <row r="82" spans="1:21" ht="15">
      <c r="A82" s="4" t="s">
        <v>154</v>
      </c>
      <c r="B82" s="4" t="s">
        <v>95</v>
      </c>
      <c r="C82" s="38" t="s">
        <v>120</v>
      </c>
      <c r="D82" s="28">
        <v>5.133199999999999</v>
      </c>
      <c r="E82" s="19">
        <f>D82/$D$85</f>
        <v>0.22115662173049494</v>
      </c>
      <c r="F82" s="28">
        <v>12.585022080202688</v>
      </c>
      <c r="G82" s="10">
        <v>70</v>
      </c>
      <c r="H82" s="24">
        <v>0.25</v>
      </c>
      <c r="I82" s="8">
        <f>G82*H82</f>
        <v>17.5</v>
      </c>
      <c r="J82" s="44">
        <f>WoodyCerradoFactor</f>
        <v>0.9</v>
      </c>
      <c r="K82" s="87">
        <f>F82*J82</f>
        <v>11.32651987218242</v>
      </c>
      <c r="L82" s="119">
        <f>I82+K82</f>
        <v>28.82651987218242</v>
      </c>
      <c r="M82" s="23">
        <v>200.057</v>
      </c>
      <c r="N82" s="20">
        <v>0</v>
      </c>
      <c r="O82" s="14">
        <f>-N82/M82</f>
        <v>0</v>
      </c>
      <c r="P82" s="23">
        <v>6.4433</v>
      </c>
      <c r="Q82" s="14">
        <f>-N82/P82</f>
        <v>0</v>
      </c>
      <c r="R82" s="20">
        <f>O82*ExistingForestUptakeDuration</f>
        <v>0</v>
      </c>
      <c r="S82" s="119"/>
      <c r="T82" s="20">
        <f>L82+R82</f>
        <v>28.82651987218242</v>
      </c>
      <c r="U82" s="20"/>
    </row>
    <row r="83" spans="1:21" ht="15">
      <c r="A83" s="4" t="s">
        <v>154</v>
      </c>
      <c r="B83" s="4" t="s">
        <v>96</v>
      </c>
      <c r="C83" s="38" t="s">
        <v>121</v>
      </c>
      <c r="D83" s="28">
        <v>3.198800000000003</v>
      </c>
      <c r="E83" s="19">
        <f>D83/$D$85</f>
        <v>0.13781574877104108</v>
      </c>
      <c r="F83" s="28">
        <v>4.550705671383754</v>
      </c>
      <c r="G83" s="10">
        <v>30</v>
      </c>
      <c r="H83" s="24">
        <v>0.25</v>
      </c>
      <c r="I83" s="8">
        <f>G83*H83</f>
        <v>7.5</v>
      </c>
      <c r="J83" s="44">
        <f>UnspecifiedFactor</f>
        <v>0.9</v>
      </c>
      <c r="K83" s="87">
        <f>F83*J83</f>
        <v>4.095635104245378</v>
      </c>
      <c r="L83" s="119">
        <f>I83+K83</f>
        <v>11.595635104245378</v>
      </c>
      <c r="M83" s="23">
        <v>47.1408</v>
      </c>
      <c r="N83" s="20">
        <v>0</v>
      </c>
      <c r="O83" s="14">
        <f>-N83/M83</f>
        <v>0</v>
      </c>
      <c r="P83" s="23">
        <v>0.6694</v>
      </c>
      <c r="Q83" s="14">
        <f>-N83/P83</f>
        <v>0</v>
      </c>
      <c r="R83" s="20"/>
      <c r="S83" s="119"/>
      <c r="T83" s="20">
        <f>L83+R83</f>
        <v>11.595635104245378</v>
      </c>
      <c r="U83" s="20"/>
    </row>
    <row r="84" spans="1:21" ht="15">
      <c r="A84" s="4" t="s">
        <v>154</v>
      </c>
      <c r="B84" s="4" t="s">
        <v>97</v>
      </c>
      <c r="C84" s="38" t="s">
        <v>120</v>
      </c>
      <c r="D84" s="28">
        <v>3.485999999999996</v>
      </c>
      <c r="E84" s="19">
        <f>D84/$D$85</f>
        <v>0.15018935232457428</v>
      </c>
      <c r="F84" s="28">
        <v>79.86395654489192</v>
      </c>
      <c r="G84" s="10">
        <v>100</v>
      </c>
      <c r="H84" s="24">
        <v>0.25</v>
      </c>
      <c r="I84" s="8">
        <f>G84*H84</f>
        <v>25</v>
      </c>
      <c r="J84" s="44">
        <f>UnspecifiedFactor</f>
        <v>0.9</v>
      </c>
      <c r="K84" s="87">
        <f>F84*J84</f>
        <v>71.87756089040273</v>
      </c>
      <c r="L84" s="119">
        <f>I84+K84</f>
        <v>96.87756089040273</v>
      </c>
      <c r="M84" s="23">
        <v>27.713200000000004</v>
      </c>
      <c r="N84" s="20">
        <v>0</v>
      </c>
      <c r="O84" s="14">
        <f>-N84/M84</f>
        <v>0</v>
      </c>
      <c r="P84" s="23">
        <v>0.8552000000000001</v>
      </c>
      <c r="Q84" s="14">
        <f>-N84/P84</f>
        <v>0</v>
      </c>
      <c r="R84" s="20"/>
      <c r="S84" s="119"/>
      <c r="T84" s="20">
        <f>L84+R84</f>
        <v>96.87756089040273</v>
      </c>
      <c r="U84" s="20"/>
    </row>
    <row r="85" spans="2:21" ht="15">
      <c r="B85" s="4" t="s">
        <v>186</v>
      </c>
      <c r="C85" s="38"/>
      <c r="D85" s="14">
        <f>SUM(D80:D84)</f>
        <v>23.2107</v>
      </c>
      <c r="E85" s="19">
        <f>SUM(E80:E84)</f>
        <v>1</v>
      </c>
      <c r="F85" s="20">
        <f>SUMPRODUCT($E80:$E84,F80:F84)</f>
        <v>52.2522891838849</v>
      </c>
      <c r="G85" s="21"/>
      <c r="H85" s="21"/>
      <c r="I85" s="20">
        <f>SUMPRODUCT($E80:$E84,I80:I84)</f>
        <v>24.829076675843467</v>
      </c>
      <c r="J85" s="16"/>
      <c r="K85" s="89"/>
      <c r="L85" s="119">
        <f>SUMPRODUCT($E80:$E84,L80:L84)</f>
        <v>71.85613694133988</v>
      </c>
      <c r="M85" s="20"/>
      <c r="N85" s="20"/>
      <c r="O85" s="20"/>
      <c r="P85" s="20"/>
      <c r="Q85" s="20"/>
      <c r="R85" s="20">
        <f>SUMPRODUCT(E80:E84,R80:R84)</f>
        <v>1.4924276436489678</v>
      </c>
      <c r="S85" s="119"/>
      <c r="T85" s="20">
        <f>SUMPRODUCT(E80:E84,T80:T84)</f>
        <v>73.34856458498885</v>
      </c>
      <c r="U85" s="20"/>
    </row>
    <row r="86" spans="2:21" ht="15">
      <c r="B86" s="4" t="s">
        <v>112</v>
      </c>
      <c r="C86" s="38"/>
      <c r="D86" s="14" t="s">
        <v>114</v>
      </c>
      <c r="E86" s="52">
        <f>SUM(D80:D82,D84)/$D$93</f>
        <v>0.2618875312278755</v>
      </c>
      <c r="F86" s="17">
        <f>(SUMPRODUCT($E80:$E82,K80:K82)+$E84*K84)/SUM($E80:$E82,$E84)</f>
        <v>53.88942929621363</v>
      </c>
      <c r="G86" s="21"/>
      <c r="H86" s="21"/>
      <c r="I86" s="17">
        <f>(SUMPRODUCT($E80:$E82,I80:I82)+$E84*I84)/SUM($E80:$E82,$E84)</f>
        <v>27.599041070563015</v>
      </c>
      <c r="J86" s="16"/>
      <c r="K86" s="89"/>
      <c r="L86" s="119"/>
      <c r="M86" s="20"/>
      <c r="N86" s="20"/>
      <c r="O86" s="25">
        <f>(SUMPRODUCT($E80:$E82,O80:O82)+$E84*O84)/SUM($E80:$E82,$E84)</f>
        <v>0.05769948598657649</v>
      </c>
      <c r="P86" s="14"/>
      <c r="Q86" s="25">
        <f>SUMPRODUCT($E80:$E82,Q80:Q82)+$E84*Q84</f>
        <v>0.42281989961467936</v>
      </c>
      <c r="R86" s="20"/>
      <c r="S86" s="119"/>
      <c r="T86" s="20"/>
      <c r="U86" s="20"/>
    </row>
    <row r="87" spans="2:21" ht="15">
      <c r="B87" s="4" t="s">
        <v>113</v>
      </c>
      <c r="C87" s="38"/>
      <c r="D87" s="14" t="s">
        <v>114</v>
      </c>
      <c r="E87" s="52">
        <f>D83/$D$93</f>
        <v>0.041861384220974976</v>
      </c>
      <c r="F87" s="17">
        <f>SUMPRODUCT($E83,K83)/$E83</f>
        <v>4.095635104245378</v>
      </c>
      <c r="G87" s="21"/>
      <c r="H87" s="21"/>
      <c r="I87" s="17">
        <f>SUMPRODUCT($E83,I83)/$E83</f>
        <v>7.5</v>
      </c>
      <c r="J87" s="16"/>
      <c r="K87" s="89"/>
      <c r="L87" s="119"/>
      <c r="M87" s="20"/>
      <c r="N87" s="20"/>
      <c r="O87" s="20"/>
      <c r="P87" s="20"/>
      <c r="Q87" s="20"/>
      <c r="R87" s="20"/>
      <c r="S87" s="119"/>
      <c r="T87" s="20"/>
      <c r="U87" s="20"/>
    </row>
    <row r="88" spans="3:21" ht="15">
      <c r="C88" s="38"/>
      <c r="D88" s="6"/>
      <c r="E88" s="19"/>
      <c r="F88" s="6"/>
      <c r="G88" s="6"/>
      <c r="H88" s="6"/>
      <c r="I88" s="20"/>
      <c r="J88" s="16"/>
      <c r="K88" s="89"/>
      <c r="L88" s="119"/>
      <c r="M88" s="20"/>
      <c r="N88" s="20"/>
      <c r="O88" s="20"/>
      <c r="P88" s="20"/>
      <c r="Q88" s="20"/>
      <c r="R88" s="20"/>
      <c r="S88" s="119"/>
      <c r="T88" s="20"/>
      <c r="U88" s="20"/>
    </row>
    <row r="89" spans="1:21" ht="15">
      <c r="A89" s="4" t="s">
        <v>168</v>
      </c>
      <c r="B89" s="4" t="s">
        <v>87</v>
      </c>
      <c r="C89" s="38" t="s">
        <v>121</v>
      </c>
      <c r="D89" s="6"/>
      <c r="E89" s="19">
        <v>1</v>
      </c>
      <c r="F89" s="23">
        <f>F10</f>
        <v>7</v>
      </c>
      <c r="G89" s="23">
        <f>G10</f>
        <v>189</v>
      </c>
      <c r="H89" s="24">
        <f>H10</f>
        <v>0.25</v>
      </c>
      <c r="I89" s="8">
        <f>G89*H89</f>
        <v>47.25</v>
      </c>
      <c r="J89" s="44">
        <f>USGrasslandFactor</f>
        <v>0.9</v>
      </c>
      <c r="K89" s="87">
        <f>F89*J89</f>
        <v>6.3</v>
      </c>
      <c r="L89" s="119">
        <f>I89+K89</f>
        <v>53.55</v>
      </c>
      <c r="M89" s="20"/>
      <c r="N89" s="20"/>
      <c r="O89" s="20"/>
      <c r="P89" s="20"/>
      <c r="Q89" s="20"/>
      <c r="R89" s="20">
        <v>0</v>
      </c>
      <c r="S89" s="119"/>
      <c r="T89" s="20">
        <f>L89+R89</f>
        <v>53.55</v>
      </c>
      <c r="U89" s="20"/>
    </row>
    <row r="90" spans="2:21" ht="15">
      <c r="B90" s="4" t="s">
        <v>112</v>
      </c>
      <c r="C90" s="38"/>
      <c r="D90" s="6"/>
      <c r="E90" s="19"/>
      <c r="F90" s="23">
        <v>0</v>
      </c>
      <c r="G90" s="23"/>
      <c r="H90" s="24"/>
      <c r="I90" s="8">
        <v>0</v>
      </c>
      <c r="J90" s="18"/>
      <c r="K90" s="28"/>
      <c r="L90" s="119"/>
      <c r="M90" s="20"/>
      <c r="N90" s="20"/>
      <c r="O90" s="8">
        <v>0</v>
      </c>
      <c r="P90" s="20"/>
      <c r="Q90" s="8">
        <v>0</v>
      </c>
      <c r="R90" s="20"/>
      <c r="S90" s="119"/>
      <c r="T90" s="20"/>
      <c r="U90" s="20"/>
    </row>
    <row r="91" spans="2:21" ht="15">
      <c r="B91" s="4" t="s">
        <v>113</v>
      </c>
      <c r="C91" s="38"/>
      <c r="D91" s="6"/>
      <c r="E91" s="19"/>
      <c r="F91" s="42">
        <f>F89</f>
        <v>7</v>
      </c>
      <c r="G91" s="13"/>
      <c r="H91" s="13"/>
      <c r="I91" s="42">
        <f>I89</f>
        <v>47.25</v>
      </c>
      <c r="J91" s="7"/>
      <c r="K91" s="91"/>
      <c r="L91" s="119"/>
      <c r="M91" s="20"/>
      <c r="N91" s="20"/>
      <c r="O91" s="20"/>
      <c r="P91" s="20"/>
      <c r="Q91" s="20"/>
      <c r="R91" s="20"/>
      <c r="S91" s="119"/>
      <c r="T91" s="20"/>
      <c r="U91" s="20"/>
    </row>
    <row r="92" spans="3:21" ht="15">
      <c r="C92" s="38"/>
      <c r="D92" s="6"/>
      <c r="E92" s="19"/>
      <c r="F92" s="6"/>
      <c r="G92" s="6"/>
      <c r="H92" s="6"/>
      <c r="I92" s="20"/>
      <c r="J92" s="20"/>
      <c r="K92" s="23"/>
      <c r="L92" s="119"/>
      <c r="M92" s="20"/>
      <c r="N92" s="20"/>
      <c r="O92" s="20"/>
      <c r="P92" s="20"/>
      <c r="Q92" s="20"/>
      <c r="R92" s="20"/>
      <c r="S92" s="119"/>
      <c r="T92" s="20"/>
      <c r="U92" s="20"/>
    </row>
    <row r="93" spans="1:21" ht="15">
      <c r="A93" s="4" t="s">
        <v>169</v>
      </c>
      <c r="B93" s="4" t="s">
        <v>186</v>
      </c>
      <c r="C93" s="38"/>
      <c r="D93" s="14">
        <f>D11+D20+D29+D38+D47+D58+D69+D76+D85</f>
        <v>76.41409999999998</v>
      </c>
      <c r="E93" s="41"/>
      <c r="F93" s="21"/>
      <c r="G93" s="21"/>
      <c r="H93" s="21"/>
      <c r="I93" s="20"/>
      <c r="J93" s="20"/>
      <c r="K93" s="23"/>
      <c r="L93" s="119">
        <v>128.46173</v>
      </c>
      <c r="M93" s="20"/>
      <c r="N93" s="20"/>
      <c r="O93" s="20"/>
      <c r="P93" s="20"/>
      <c r="Q93" s="20"/>
      <c r="R93" s="20">
        <v>9.5836275</v>
      </c>
      <c r="S93" s="119"/>
      <c r="T93" s="20">
        <f>SUM(L93:R93)</f>
        <v>138.0453575</v>
      </c>
      <c r="U93" s="20"/>
    </row>
    <row r="94" spans="2:21" ht="15">
      <c r="B94" s="4" t="s">
        <v>187</v>
      </c>
      <c r="C94" s="38"/>
      <c r="D94" s="6"/>
      <c r="E94" s="6"/>
      <c r="F94" s="6"/>
      <c r="G94" s="6"/>
      <c r="H94" s="6"/>
      <c r="I94" s="20"/>
      <c r="J94" s="20"/>
      <c r="K94" s="23"/>
      <c r="L94" s="121"/>
      <c r="M94" s="6"/>
      <c r="N94" s="6"/>
      <c r="O94" s="6"/>
      <c r="P94" s="6"/>
      <c r="Q94" s="6"/>
      <c r="R94" s="6"/>
      <c r="S94" s="121"/>
      <c r="T94" s="6"/>
      <c r="U94" s="6"/>
    </row>
    <row r="95" spans="2:21" ht="15">
      <c r="B95" s="4" t="s">
        <v>112</v>
      </c>
      <c r="D95" s="6"/>
      <c r="E95" s="30">
        <f>E21+E39+E48+E59+E70+E77+E86</f>
        <v>0.8363979946109423</v>
      </c>
      <c r="F95" s="14">
        <f>($E21*F21+$E39*F39+$E48*F48+$E59*F59+$E70*F70+$E77*F77+$E86*F86)/$E95</f>
        <v>118.02574003154162</v>
      </c>
      <c r="G95" s="6"/>
      <c r="H95" s="6"/>
      <c r="I95" s="14">
        <f>($E21*I21+$E39*I39+$E48*I48+$E59*I59+$E70*I70+$E77*I77+$E86*I86)/$E95</f>
        <v>25.497366853477487</v>
      </c>
      <c r="J95" s="6"/>
      <c r="K95" s="10"/>
      <c r="L95" s="121"/>
      <c r="M95" s="6"/>
      <c r="N95" s="6"/>
      <c r="O95" s="14">
        <f>($E21*O21+$E39*O39+$E48*O48+$E59*O59+$E70*O70+$E77*O77+$E86*O86)/$E95</f>
        <v>0.4315702387001136</v>
      </c>
      <c r="P95" s="6"/>
      <c r="Q95" s="14">
        <f>($E21*Q21+$E39*Q39+$E48*Q48+$E59*Q59+$E70*Q70+$E77*Q77+$E86*Q86)/$E95</f>
        <v>1.2749852584520212</v>
      </c>
      <c r="R95" s="6"/>
      <c r="S95" s="121"/>
      <c r="T95" s="20"/>
      <c r="U95" s="20"/>
    </row>
    <row r="96" spans="2:21" ht="15">
      <c r="B96" s="4" t="s">
        <v>113</v>
      </c>
      <c r="D96" s="6"/>
      <c r="E96" s="30">
        <f>E22+E40+E49+E60+E71+E87</f>
        <v>0.23641265159178732</v>
      </c>
      <c r="F96" s="14">
        <f>($E22*F22+$E40*F40+$E49*F49+$E60*F60+$E71*F71+$E87*F87)/$E96</f>
        <v>8.991401041084387</v>
      </c>
      <c r="G96" s="6"/>
      <c r="H96" s="6"/>
      <c r="I96" s="14">
        <f>($E22*I22+$E40*I40+$E49*I49+$E60*I60+$E71*I71+$E87*I87)/$E96</f>
        <v>14.310021001635183</v>
      </c>
      <c r="J96" s="6"/>
      <c r="K96" s="10"/>
      <c r="L96" s="119"/>
      <c r="M96" s="20"/>
      <c r="N96" s="20"/>
      <c r="O96" s="14">
        <v>0</v>
      </c>
      <c r="P96" s="20"/>
      <c r="Q96" s="14">
        <v>0</v>
      </c>
      <c r="R96" s="6"/>
      <c r="S96" s="121"/>
      <c r="T96" s="6"/>
      <c r="U96" s="6"/>
    </row>
    <row r="97" spans="1:4" ht="15">
      <c r="A97" s="136" t="s">
        <v>14</v>
      </c>
      <c r="D97" s="6"/>
    </row>
    <row r="98" spans="1:11" ht="15">
      <c r="A98"/>
      <c r="B98"/>
      <c r="D98"/>
      <c r="E98"/>
      <c r="F98"/>
      <c r="G98"/>
      <c r="H98"/>
      <c r="I98"/>
      <c r="J98"/>
      <c r="K98"/>
    </row>
    <row r="99" spans="1:11" ht="15">
      <c r="A99"/>
      <c r="B99"/>
      <c r="D99"/>
      <c r="E99"/>
      <c r="F99"/>
      <c r="G99"/>
      <c r="H99"/>
      <c r="I99"/>
      <c r="J99"/>
      <c r="K99"/>
    </row>
    <row r="100" spans="1:11" ht="15">
      <c r="A100"/>
      <c r="B100"/>
      <c r="D100"/>
      <c r="E100"/>
      <c r="F100"/>
      <c r="G100"/>
      <c r="H100"/>
      <c r="I100"/>
      <c r="J100"/>
      <c r="K100"/>
    </row>
    <row r="101" spans="1:10" ht="15">
      <c r="A101"/>
      <c r="B101"/>
      <c r="D101"/>
      <c r="E101"/>
      <c r="F101"/>
      <c r="G101"/>
      <c r="H101"/>
      <c r="I101"/>
      <c r="J101"/>
    </row>
    <row r="102" spans="1:10" ht="15">
      <c r="A102"/>
      <c r="B102"/>
      <c r="D102"/>
      <c r="E102"/>
      <c r="F102"/>
      <c r="G102"/>
      <c r="H102"/>
      <c r="I102"/>
      <c r="J102"/>
    </row>
    <row r="103" spans="1:10" ht="15">
      <c r="A103"/>
      <c r="B103"/>
      <c r="D103"/>
      <c r="E103"/>
      <c r="F103"/>
      <c r="G103"/>
      <c r="H103"/>
      <c r="I103"/>
      <c r="J103"/>
    </row>
    <row r="104" spans="1:10" ht="15">
      <c r="A104"/>
      <c r="B104"/>
      <c r="D104"/>
      <c r="E104"/>
      <c r="F104"/>
      <c r="G104"/>
      <c r="H104"/>
      <c r="I104"/>
      <c r="J104"/>
    </row>
    <row r="105" spans="1:4" ht="15">
      <c r="A105"/>
      <c r="D105" s="14"/>
    </row>
    <row r="106" spans="1:4" ht="15">
      <c r="A106"/>
      <c r="D106" s="6"/>
    </row>
    <row r="107" spans="1:4" ht="15">
      <c r="A107"/>
      <c r="D107" s="14"/>
    </row>
    <row r="108" spans="1:4" ht="15">
      <c r="A108"/>
      <c r="D108" s="14"/>
    </row>
    <row r="109" spans="1:4" ht="15">
      <c r="A109"/>
      <c r="D109" s="6"/>
    </row>
    <row r="110" spans="1:4" ht="15">
      <c r="A110"/>
      <c r="D110" s="14"/>
    </row>
    <row r="111" ht="15">
      <c r="D111" s="20"/>
    </row>
  </sheetData>
  <sheetProtection/>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J52"/>
  <sheetViews>
    <sheetView zoomScalePageLayoutView="0" workbookViewId="0" topLeftCell="A1">
      <selection activeCell="B40" sqref="B40"/>
    </sheetView>
  </sheetViews>
  <sheetFormatPr defaultColWidth="8.7109375" defaultRowHeight="15"/>
  <cols>
    <col min="1" max="1" width="31.57421875" style="4" customWidth="1"/>
    <col min="2" max="2" width="12.7109375" style="4" customWidth="1"/>
    <col min="3" max="3" width="11.8515625" style="4" customWidth="1"/>
    <col min="4" max="4" width="12.00390625" style="4" customWidth="1"/>
    <col min="5" max="16384" width="8.7109375" style="4" customWidth="1"/>
  </cols>
  <sheetData>
    <row r="1" spans="1:6" ht="12.75">
      <c r="A1" s="48" t="s">
        <v>152</v>
      </c>
      <c r="B1" s="47"/>
      <c r="C1" s="49"/>
      <c r="D1" s="50"/>
      <c r="E1" s="47"/>
      <c r="F1" s="47"/>
    </row>
    <row r="2" spans="1:4" ht="12.75">
      <c r="A2" s="11"/>
      <c r="C2" s="12"/>
      <c r="D2" s="26"/>
    </row>
    <row r="3" spans="1:4" ht="12.75">
      <c r="A3" s="11" t="s">
        <v>207</v>
      </c>
      <c r="B3" s="26" t="s">
        <v>208</v>
      </c>
      <c r="C3" s="12" t="s">
        <v>142</v>
      </c>
      <c r="D3" s="26"/>
    </row>
    <row r="4" spans="1:3" ht="12.75">
      <c r="A4" s="4" t="s">
        <v>221</v>
      </c>
      <c r="B4" s="6">
        <v>948.452</v>
      </c>
      <c r="C4" s="6" t="s">
        <v>143</v>
      </c>
    </row>
    <row r="5" spans="2:3" ht="12.75">
      <c r="B5" s="6">
        <v>56</v>
      </c>
      <c r="C5" s="6" t="s">
        <v>144</v>
      </c>
    </row>
    <row r="6" spans="1:3" ht="12.75">
      <c r="A6" s="4" t="s">
        <v>9</v>
      </c>
      <c r="B6" s="31">
        <f>B5/B7</f>
        <v>25.401433366597114</v>
      </c>
      <c r="C6" s="6" t="s">
        <v>145</v>
      </c>
    </row>
    <row r="7" spans="1:3" ht="12.75">
      <c r="A7" s="4" t="s">
        <v>10</v>
      </c>
      <c r="B7" s="6">
        <v>2.2046</v>
      </c>
      <c r="C7" s="6" t="s">
        <v>146</v>
      </c>
    </row>
    <row r="8" spans="1:3" ht="12.75">
      <c r="A8" s="4" t="s">
        <v>209</v>
      </c>
      <c r="B8" s="6">
        <v>2.471</v>
      </c>
      <c r="C8" s="6" t="s">
        <v>147</v>
      </c>
    </row>
    <row r="9" spans="2:3" ht="12.75">
      <c r="B9" s="6">
        <v>3012.05</v>
      </c>
      <c r="C9" s="6" t="s">
        <v>148</v>
      </c>
    </row>
    <row r="10" spans="1:3" ht="12.75">
      <c r="A10" s="4" t="s">
        <v>210</v>
      </c>
      <c r="B10" s="6">
        <v>3.785</v>
      </c>
      <c r="C10" s="6" t="s">
        <v>149</v>
      </c>
    </row>
    <row r="11" spans="2:3" ht="12.75">
      <c r="B11" s="6">
        <v>3.6</v>
      </c>
      <c r="C11" s="6" t="s">
        <v>150</v>
      </c>
    </row>
    <row r="12" spans="2:3" ht="12.75">
      <c r="B12" s="6">
        <v>907.185</v>
      </c>
      <c r="C12" s="6" t="s">
        <v>151</v>
      </c>
    </row>
    <row r="13" spans="1:4" ht="12.75" customHeight="1">
      <c r="A13" s="4" t="s">
        <v>211</v>
      </c>
      <c r="B13" s="32">
        <f>44/12</f>
        <v>3.6666666666666665</v>
      </c>
      <c r="C13" s="6" t="s">
        <v>199</v>
      </c>
      <c r="D13" s="4" t="s">
        <v>2</v>
      </c>
    </row>
    <row r="14" ht="12.75">
      <c r="C14" s="6"/>
    </row>
    <row r="15" spans="1:6" ht="12.75">
      <c r="A15" s="46" t="s">
        <v>198</v>
      </c>
      <c r="B15" s="47"/>
      <c r="C15" s="51"/>
      <c r="D15" s="47"/>
      <c r="E15" s="47"/>
      <c r="F15" s="47"/>
    </row>
    <row r="16" spans="1:6" ht="12.75">
      <c r="A16" s="11" t="s">
        <v>207</v>
      </c>
      <c r="B16" s="26" t="s">
        <v>208</v>
      </c>
      <c r="C16" s="12" t="s">
        <v>142</v>
      </c>
      <c r="D16" s="27"/>
      <c r="E16" s="27"/>
      <c r="F16" s="27"/>
    </row>
    <row r="17" spans="1:10" ht="12.75">
      <c r="A17" s="27" t="s">
        <v>224</v>
      </c>
      <c r="B17" s="24">
        <v>0.04</v>
      </c>
      <c r="C17" s="10"/>
      <c r="D17" s="27" t="s">
        <v>225</v>
      </c>
      <c r="E17" s="27"/>
      <c r="F17" s="27"/>
      <c r="G17" s="27"/>
      <c r="H17" s="27"/>
      <c r="I17" s="27"/>
      <c r="J17" s="27"/>
    </row>
    <row r="18" spans="1:10" ht="12.75">
      <c r="A18" s="27"/>
      <c r="B18" s="36">
        <v>76330</v>
      </c>
      <c r="C18" s="10" t="s">
        <v>206</v>
      </c>
      <c r="D18" s="27" t="s">
        <v>212</v>
      </c>
      <c r="E18" s="27"/>
      <c r="F18" s="27"/>
      <c r="G18" s="27"/>
      <c r="H18" s="27"/>
      <c r="I18" s="27"/>
      <c r="J18" s="27"/>
    </row>
    <row r="19" spans="1:10" ht="12.75">
      <c r="A19" s="27" t="s">
        <v>200</v>
      </c>
      <c r="B19" s="29">
        <f>B18/BtuPerMJ/LiterPerGal</f>
        <v>21.262485080256564</v>
      </c>
      <c r="C19" s="10" t="s">
        <v>124</v>
      </c>
      <c r="D19" s="27" t="s">
        <v>213</v>
      </c>
      <c r="E19" s="27"/>
      <c r="F19" s="27"/>
      <c r="G19" s="27"/>
      <c r="H19" s="27"/>
      <c r="I19" s="27"/>
      <c r="J19" s="27"/>
    </row>
    <row r="20" spans="1:10" ht="12.75">
      <c r="A20" s="27"/>
      <c r="B20" s="36">
        <v>116920</v>
      </c>
      <c r="C20" s="10" t="s">
        <v>206</v>
      </c>
      <c r="D20" s="27" t="s">
        <v>223</v>
      </c>
      <c r="E20" s="27"/>
      <c r="F20" s="27"/>
      <c r="G20" s="27"/>
      <c r="H20" s="27"/>
      <c r="I20" s="27"/>
      <c r="J20" s="27"/>
    </row>
    <row r="21" spans="1:10" ht="12.75">
      <c r="A21" s="27" t="s">
        <v>222</v>
      </c>
      <c r="B21" s="37">
        <f>B20/BtuPerMJ/LiterPerGal</f>
        <v>32.56923562928858</v>
      </c>
      <c r="C21" s="10" t="s">
        <v>124</v>
      </c>
      <c r="D21" s="27" t="s">
        <v>226</v>
      </c>
      <c r="E21" s="27"/>
      <c r="F21" s="27"/>
      <c r="G21" s="27"/>
      <c r="H21" s="27"/>
      <c r="I21" s="27"/>
      <c r="J21" s="27"/>
    </row>
    <row r="22" spans="1:10" ht="12.75">
      <c r="A22" s="27" t="s">
        <v>227</v>
      </c>
      <c r="B22" s="29">
        <f>(1-DenaturantVolume)*EthanolLHV+DenaturantVolume*DenaturantLHV</f>
        <v>21.714755102217843</v>
      </c>
      <c r="C22" s="10" t="s">
        <v>124</v>
      </c>
      <c r="D22" s="27" t="s">
        <v>214</v>
      </c>
      <c r="E22" s="27"/>
      <c r="F22" s="27"/>
      <c r="G22" s="27"/>
      <c r="H22" s="27"/>
      <c r="I22" s="27"/>
      <c r="J22" s="27"/>
    </row>
    <row r="26" spans="1:6" ht="12.75">
      <c r="A26" s="46" t="s">
        <v>104</v>
      </c>
      <c r="B26" s="47"/>
      <c r="C26" s="47"/>
      <c r="D26" s="47"/>
      <c r="E26" s="47"/>
      <c r="F26" s="47"/>
    </row>
    <row r="27" spans="1:3" ht="12.75">
      <c r="A27" s="53"/>
      <c r="B27" s="10">
        <v>2</v>
      </c>
      <c r="C27" s="9" t="s">
        <v>103</v>
      </c>
    </row>
    <row r="28" spans="2:5" ht="12.75">
      <c r="B28" s="26" t="s">
        <v>232</v>
      </c>
      <c r="C28" s="26" t="s">
        <v>231</v>
      </c>
      <c r="D28" s="26" t="s">
        <v>162</v>
      </c>
      <c r="E28" s="26" t="s">
        <v>99</v>
      </c>
    </row>
    <row r="29" spans="1:5" ht="12.75">
      <c r="A29" s="4" t="s">
        <v>106</v>
      </c>
      <c r="B29" s="19">
        <v>0</v>
      </c>
      <c r="C29" s="30">
        <v>0.033</v>
      </c>
      <c r="D29" s="30">
        <f aca="true" t="shared" si="0" ref="D29:D34">SUM(B29:C29)</f>
        <v>0.033</v>
      </c>
      <c r="E29" s="30">
        <f aca="true" t="shared" si="1" ref="E29:E35">IF($B$27=1,1-D29,IF($B$27=2,90%,100%))</f>
        <v>0.9</v>
      </c>
    </row>
    <row r="30" spans="1:5" ht="12.75">
      <c r="A30" s="4" t="s">
        <v>107</v>
      </c>
      <c r="B30" s="19">
        <v>0</v>
      </c>
      <c r="C30" s="30">
        <v>0.033</v>
      </c>
      <c r="D30" s="30">
        <f t="shared" si="0"/>
        <v>0.033</v>
      </c>
      <c r="E30" s="30">
        <f t="shared" si="1"/>
        <v>0.9</v>
      </c>
    </row>
    <row r="31" spans="1:5" ht="12.75">
      <c r="A31" s="4" t="s">
        <v>108</v>
      </c>
      <c r="B31" s="19">
        <v>0.14</v>
      </c>
      <c r="C31" s="30">
        <v>0.033</v>
      </c>
      <c r="D31" s="30">
        <f t="shared" si="0"/>
        <v>0.17300000000000001</v>
      </c>
      <c r="E31" s="30">
        <f t="shared" si="1"/>
        <v>0.9</v>
      </c>
    </row>
    <row r="32" spans="1:6" ht="12.75">
      <c r="A32" s="4" t="s">
        <v>109</v>
      </c>
      <c r="B32" s="19">
        <v>0.09</v>
      </c>
      <c r="C32" s="30">
        <v>0.08</v>
      </c>
      <c r="D32" s="30">
        <f t="shared" si="0"/>
        <v>0.16999999999999998</v>
      </c>
      <c r="E32" s="30">
        <f t="shared" si="1"/>
        <v>0.9</v>
      </c>
      <c r="F32" s="54"/>
    </row>
    <row r="33" spans="1:5" ht="12.75">
      <c r="A33" s="4" t="s">
        <v>110</v>
      </c>
      <c r="B33" s="19">
        <v>0</v>
      </c>
      <c r="C33" s="30">
        <v>0.08</v>
      </c>
      <c r="D33" s="30">
        <f t="shared" si="0"/>
        <v>0.08</v>
      </c>
      <c r="E33" s="30">
        <f t="shared" si="1"/>
        <v>0.9</v>
      </c>
    </row>
    <row r="34" spans="1:5" ht="12.75">
      <c r="A34" s="4" t="s">
        <v>111</v>
      </c>
      <c r="B34" s="19">
        <v>0</v>
      </c>
      <c r="C34" s="30">
        <v>0</v>
      </c>
      <c r="D34" s="30">
        <f t="shared" si="0"/>
        <v>0</v>
      </c>
      <c r="E34" s="30">
        <f t="shared" si="1"/>
        <v>0.9</v>
      </c>
    </row>
    <row r="35" spans="1:5" ht="12.75">
      <c r="A35" s="4" t="s">
        <v>101</v>
      </c>
      <c r="B35" s="19" t="s">
        <v>183</v>
      </c>
      <c r="C35" s="30" t="s">
        <v>183</v>
      </c>
      <c r="D35" s="30">
        <v>0.1</v>
      </c>
      <c r="E35" s="30">
        <f t="shared" si="1"/>
        <v>0.9</v>
      </c>
    </row>
    <row r="36" ht="12.75">
      <c r="A36" s="33" t="s">
        <v>105</v>
      </c>
    </row>
    <row r="37" ht="12.75">
      <c r="A37" s="33" t="s">
        <v>100</v>
      </c>
    </row>
    <row r="39" spans="1:6" ht="12.75">
      <c r="A39" s="46" t="s">
        <v>115</v>
      </c>
      <c r="B39" s="47"/>
      <c r="C39" s="47"/>
      <c r="D39" s="47"/>
      <c r="E39" s="47"/>
      <c r="F39" s="47"/>
    </row>
    <row r="40" spans="2:3" ht="12.75">
      <c r="B40" s="10">
        <v>1</v>
      </c>
      <c r="C40" s="9" t="s">
        <v>116</v>
      </c>
    </row>
    <row r="41" spans="1:3" ht="12.75">
      <c r="A41" s="4" t="s">
        <v>6</v>
      </c>
      <c r="B41" s="6">
        <f>IF(B40,5,0.0001)</f>
        <v>5</v>
      </c>
      <c r="C41" s="4" t="s">
        <v>7</v>
      </c>
    </row>
    <row r="42" spans="2:3" ht="12.75">
      <c r="B42" s="20">
        <f>ReplacementCropCarbon*CO2PerC</f>
        <v>18.333333333333332</v>
      </c>
      <c r="C42" s="4" t="s">
        <v>17</v>
      </c>
    </row>
    <row r="43" ht="12.75">
      <c r="A43" s="33" t="s">
        <v>12</v>
      </c>
    </row>
    <row r="45" spans="1:6" ht="12.75">
      <c r="A45" s="46" t="s">
        <v>31</v>
      </c>
      <c r="B45" s="47"/>
      <c r="C45" s="47"/>
      <c r="D45" s="47"/>
      <c r="E45" s="47"/>
      <c r="F45" s="47"/>
    </row>
    <row r="46" spans="1:2" ht="15">
      <c r="A46" t="s">
        <v>228</v>
      </c>
      <c r="B46">
        <v>30</v>
      </c>
    </row>
    <row r="47" spans="1:2" ht="15">
      <c r="A47" t="s">
        <v>229</v>
      </c>
      <c r="B47">
        <v>30</v>
      </c>
    </row>
    <row r="48" spans="1:2" ht="15">
      <c r="A48" t="s">
        <v>230</v>
      </c>
      <c r="B48">
        <v>30</v>
      </c>
    </row>
    <row r="50" spans="1:6" ht="12.75">
      <c r="A50" s="46" t="s">
        <v>32</v>
      </c>
      <c r="B50" s="47"/>
      <c r="C50" s="47"/>
      <c r="D50" s="47"/>
      <c r="E50" s="47"/>
      <c r="F50" s="47"/>
    </row>
    <row r="51" spans="1:2" ht="15">
      <c r="A51" t="s">
        <v>64</v>
      </c>
      <c r="B51">
        <v>30</v>
      </c>
    </row>
    <row r="52" spans="1:2" ht="15">
      <c r="A52" t="s">
        <v>65</v>
      </c>
      <c r="B52" s="122">
        <v>0.75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rjp</dc:creator>
  <cp:keywords/>
  <dc:description/>
  <cp:lastModifiedBy>arb</cp:lastModifiedBy>
  <dcterms:created xsi:type="dcterms:W3CDTF">2008-02-18T01:45:23Z</dcterms:created>
  <dcterms:modified xsi:type="dcterms:W3CDTF">2009-03-04T22:40:58Z</dcterms:modified>
  <cp:category/>
  <cp:version/>
  <cp:contentType/>
  <cp:contentStatus/>
</cp:coreProperties>
</file>