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4800" tabRatio="999" activeTab="0"/>
  </bookViews>
  <sheets>
    <sheet name="Phase 2 PM for Averaging" sheetId="1" r:id="rId1"/>
    <sheet name="PM for DAL (Report)" sheetId="2" r:id="rId2"/>
    <sheet name="PM for DAL (Data)" sheetId="3" r:id="rId3"/>
    <sheet name="DAL Batch (Report)" sheetId="4" r:id="rId4"/>
    <sheet name="DAL Batch (Data)" sheetId="5" r:id="rId5"/>
    <sheet name="DAL Monthly (Report) Page 1" sheetId="6" r:id="rId6"/>
    <sheet name="DAL Monthly (Report) Page 2" sheetId="7" r:id="rId7"/>
    <sheet name="DAL Monthly (Data)" sheetId="8" r:id="rId8"/>
  </sheets>
  <definedNames>
    <definedName name="INPUT">'Phase 2 PM for Averaging'!$A$20:$A$20</definedName>
    <definedName name="OUTPUT">'Phase 2 PM for Averaging'!$B$52:$B$52</definedName>
  </definedNames>
  <calcPr fullCalcOnLoad="1"/>
</workbook>
</file>

<file path=xl/sharedStrings.xml><?xml version="1.0" encoding="utf-8"?>
<sst xmlns="http://schemas.openxmlformats.org/spreadsheetml/2006/main" count="956" uniqueCount="247">
  <si>
    <t>CALIFORNIA PREDICTIVE MODEL (4/22/95)  FSOR Final Version</t>
  </si>
  <si>
    <t>note: model coefficents rounded to values in Procedures Document in 2/99.</t>
  </si>
  <si>
    <t>INTRODUCTION</t>
  </si>
  <si>
    <t xml:space="preserve">This spreadsheet uses the California Predictive Model to evaluate alternative specifications for </t>
  </si>
  <si>
    <t xml:space="preserve">Phase 2 reformulated gasoline.  This spreadsheet is based on the procedures defined </t>
  </si>
  <si>
    <t>in the California Procedures for Evaluating Alternative Specifications for Phase 2 Reformulated Gasoline</t>
  </si>
  <si>
    <t>Using the California Predictive Model.</t>
  </si>
  <si>
    <t xml:space="preserve">To use this spreadsheet, you will be required to enter the value of each candidate fuel property     </t>
  </si>
  <si>
    <t xml:space="preserve">and the type of limit, averaging or flat, to which it will be compared.  The spreadsheet will calculate </t>
  </si>
  <si>
    <t>the percent change in emission reductions between the candidate and reference fuel and indicate</t>
  </si>
  <si>
    <t>whether it can be used as a substitute for Phase 2 reformulated gasoline.</t>
  </si>
  <si>
    <t>INPUTS</t>
  </si>
  <si>
    <t>ENTER THE VALUE OF EACH CANDIDATE FUEL PROPERTY IN THE APPROPRIATE SPACE BELOW:</t>
  </si>
  <si>
    <t>PROPERTY</t>
  </si>
  <si>
    <t>VALUE</t>
  </si>
  <si>
    <t>UNITS</t>
  </si>
  <si>
    <t>RVP</t>
  </si>
  <si>
    <t>psi, max.</t>
  </si>
  <si>
    <t>T50</t>
  </si>
  <si>
    <t>deg. F.</t>
  </si>
  <si>
    <t>T90</t>
  </si>
  <si>
    <t>AROM</t>
  </si>
  <si>
    <t>vol.%, max.</t>
  </si>
  <si>
    <t>OLEF</t>
  </si>
  <si>
    <t>(max)</t>
  </si>
  <si>
    <t>(min)</t>
  </si>
  <si>
    <t>OXYGEN</t>
  </si>
  <si>
    <t>wt. %</t>
  </si>
  <si>
    <t>SULFUR</t>
  </si>
  <si>
    <t>ppmw.</t>
  </si>
  <si>
    <t>BENZENE</t>
  </si>
  <si>
    <t xml:space="preserve">INDICATE WHETHER AN AVERAGING LIMIT OR A FLAT LIMIT WILL BE USED. </t>
  </si>
  <si>
    <t>ENTER "A" FOR AVERAGING LIMIT AND "F" FOR FLAT LIMIT.</t>
  </si>
  <si>
    <t>BENZ</t>
  </si>
  <si>
    <t>RESULTS</t>
  </si>
  <si>
    <t>FOR OXYGEN AT MAXIMUM VALUE</t>
  </si>
  <si>
    <t>PREDICTED PERCENT CHANGE IN EMISSION (CANDIDATE VS REFERENCE)</t>
  </si>
  <si>
    <t>POLLUTANT</t>
  </si>
  <si>
    <t>COMPOSITE</t>
  </si>
  <si>
    <t xml:space="preserve"> </t>
  </si>
  <si>
    <t>NOX</t>
  </si>
  <si>
    <t>THC</t>
  </si>
  <si>
    <t>POT.TOX.</t>
  </si>
  <si>
    <t>FOR OXYGEN AT MINIMUM VALUE</t>
  </si>
  <si>
    <t xml:space="preserve">   COMPOSITE</t>
  </si>
  <si>
    <t xml:space="preserve">THE CANDIDATE FUEL </t>
  </si>
  <si>
    <t xml:space="preserve">,SINCE THE PERCENT CHANGE IN EMISSIONS  </t>
  </si>
  <si>
    <t xml:space="preserve">BETWEEN THE CANDIDATE FUEL AND REFERENCE FUEL IS  </t>
  </si>
  <si>
    <t>OXYGEN VALUE DETERMINATION</t>
  </si>
  <si>
    <t>REF MAX</t>
  </si>
  <si>
    <t>REF MIN</t>
  </si>
  <si>
    <t>CAN MAX</t>
  </si>
  <si>
    <t>CAN MIN</t>
  </si>
  <si>
    <t>TEST 1</t>
  </si>
  <si>
    <t>TEST 2</t>
  </si>
  <si>
    <t>TEST 3</t>
  </si>
  <si>
    <t>TEST 4</t>
  </si>
  <si>
    <t>TEST 5</t>
  </si>
  <si>
    <t>TEST 6</t>
  </si>
  <si>
    <t>OXYGEN VALUES USED</t>
  </si>
  <si>
    <t>OXYGEN MAXIMUM CALCULATION</t>
  </si>
  <si>
    <t>PREDICTED PERCENT CHANGE IN EMISSION (FUEL 2 RELATIVE TO FUEL 1)</t>
  </si>
  <si>
    <t>FUEL 1</t>
  </si>
  <si>
    <t>FUEL 2</t>
  </si>
  <si>
    <t>TECH 3</t>
  </si>
  <si>
    <t>TECH 4</t>
  </si>
  <si>
    <t>TECH GROUP WEIGHTS:</t>
  </si>
  <si>
    <t>TOXICS POTENCY WEIGHTS:</t>
  </si>
  <si>
    <t>CARB 8C</t>
  </si>
  <si>
    <t>RANBAL</t>
  </si>
  <si>
    <t>WEIGHT</t>
  </si>
  <si>
    <t>NA</t>
  </si>
  <si>
    <t>BUTADI.</t>
  </si>
  <si>
    <t>ALL TOXICS</t>
  </si>
  <si>
    <t>FORMAL.</t>
  </si>
  <si>
    <t>ACETAL.</t>
  </si>
  <si>
    <t xml:space="preserve">note: The TECH GROUP Weights are the same for </t>
  </si>
  <si>
    <t xml:space="preserve">  all Toxics because these weights are VMT weights.</t>
  </si>
  <si>
    <t>FUEL PROPERTY MEANS AND STANDARD DEVIATIONS:</t>
  </si>
  <si>
    <t>MEAN</t>
  </si>
  <si>
    <t>STD.</t>
  </si>
  <si>
    <t>MODEL COEFFICIENTS:</t>
  </si>
  <si>
    <t xml:space="preserve">THESE ARE THE 3/94 PROC MIXED PARAMETER ESTIMATES. </t>
  </si>
  <si>
    <t>STANDARDIZED FUEL PROPERTIES:</t>
  </si>
  <si>
    <t>POT</t>
  </si>
  <si>
    <t>TERM</t>
  </si>
  <si>
    <t>INTERCEPT</t>
  </si>
  <si>
    <t>RVRV</t>
  </si>
  <si>
    <t>RVT5</t>
  </si>
  <si>
    <t>RVOX</t>
  </si>
  <si>
    <t>T5T5</t>
  </si>
  <si>
    <t>T5T9</t>
  </si>
  <si>
    <t>T5OX</t>
  </si>
  <si>
    <t>T9T9</t>
  </si>
  <si>
    <t>T9OX</t>
  </si>
  <si>
    <t>T9SU</t>
  </si>
  <si>
    <t>T9AR</t>
  </si>
  <si>
    <t>ARAR</t>
  </si>
  <si>
    <t>AROL</t>
  </si>
  <si>
    <t>AROX</t>
  </si>
  <si>
    <t>ARSU</t>
  </si>
  <si>
    <t>OLT9</t>
  </si>
  <si>
    <t>OXOX</t>
  </si>
  <si>
    <t>SUSU</t>
  </si>
  <si>
    <t>MODEL PREDICTIONS: EXP(PREDICTION) ARE EMISSIONS PREDICTIONS IN g/mi FOR THC AND NOX AND mg/mi FOR TOXICS.</t>
  </si>
  <si>
    <t>PREDICTIONS FOR FUEL 1:</t>
  </si>
  <si>
    <t>POT.WT.</t>
  </si>
  <si>
    <t>POT. WT.</t>
  </si>
  <si>
    <t>MODEL PREDICTION</t>
  </si>
  <si>
    <t>EXP(PREDICTION)</t>
  </si>
  <si>
    <t>LINEARIZATION</t>
  </si>
  <si>
    <t>MINIMA</t>
  </si>
  <si>
    <t>PREDICTIONS FOR FUEL 2:</t>
  </si>
  <si>
    <t>PERCENT CHANGE IN PREDICTED EMISSIONS (FUEL 2 RELATIVE TO FUEL1):</t>
  </si>
  <si>
    <t>NOX (RANBAL)</t>
  </si>
  <si>
    <t>THC (RANBAL)</t>
  </si>
  <si>
    <t>% CHANGE IN POT. WT. TOXICS</t>
  </si>
  <si>
    <t>% CHANGE</t>
  </si>
  <si>
    <t>POTENCY TOXICS</t>
  </si>
  <si>
    <t>This calculation checks the one done</t>
  </si>
  <si>
    <t>in cell L130</t>
  </si>
  <si>
    <t>OXYGEN MINIMUM CALCULATION</t>
  </si>
  <si>
    <t>Person Reporting:</t>
  </si>
  <si>
    <t>Grade:</t>
  </si>
  <si>
    <t>Fuel Parameter</t>
  </si>
  <si>
    <t xml:space="preserve">Compliance </t>
  </si>
  <si>
    <t>Predictive Model</t>
  </si>
  <si>
    <t>Units</t>
  </si>
  <si>
    <t>Option</t>
  </si>
  <si>
    <t>Percent Change in Emissions</t>
  </si>
  <si>
    <t>Pollutants</t>
  </si>
  <si>
    <t>Maximun O2</t>
  </si>
  <si>
    <t>Minimum O2</t>
  </si>
  <si>
    <t>Oxides of Nitrogen</t>
  </si>
  <si>
    <t>Total Hydrocarbons</t>
  </si>
  <si>
    <t>Potency Weighted Toxins</t>
  </si>
  <si>
    <t>Comment:</t>
  </si>
  <si>
    <t>n/a</t>
  </si>
  <si>
    <t>ARO</t>
  </si>
  <si>
    <t>BEN</t>
  </si>
  <si>
    <t>OLE</t>
  </si>
  <si>
    <t>SUL</t>
  </si>
  <si>
    <t>OXYX</t>
  </si>
  <si>
    <t>OXYN</t>
  </si>
  <si>
    <t>CaRFG Phase</t>
  </si>
  <si>
    <t>CARB</t>
  </si>
  <si>
    <t>EPA Facility ID:</t>
  </si>
  <si>
    <t>DAL</t>
  </si>
  <si>
    <t>API</t>
  </si>
  <si>
    <t>OXY</t>
  </si>
  <si>
    <t>REFINERY NAME</t>
  </si>
  <si>
    <t>LOCATION</t>
  </si>
  <si>
    <t>City,  St Zip Code</t>
  </si>
  <si>
    <t>Month Year</t>
  </si>
  <si>
    <t>Date</t>
  </si>
  <si>
    <t>Estimated</t>
  </si>
  <si>
    <t>Volume</t>
  </si>
  <si>
    <t>Actual</t>
  </si>
  <si>
    <t>Tank</t>
  </si>
  <si>
    <t>Number</t>
  </si>
  <si>
    <t>Location</t>
  </si>
  <si>
    <t>Start of Transfer Time:</t>
  </si>
  <si>
    <t>Start of Transfer Date:</t>
  </si>
  <si>
    <t>CTRBH</t>
  </si>
  <si>
    <t>CTRSP</t>
  </si>
  <si>
    <t>CTRVL</t>
  </si>
  <si>
    <t>TK-101</t>
  </si>
  <si>
    <t>Time</t>
  </si>
  <si>
    <t>(bbls)</t>
  </si>
  <si>
    <t>TK-102</t>
  </si>
  <si>
    <t>Batch Number :</t>
  </si>
  <si>
    <t>Compiance</t>
  </si>
  <si>
    <t>Batch</t>
  </si>
  <si>
    <t>Production</t>
  </si>
  <si>
    <t xml:space="preserve">Batch </t>
  </si>
  <si>
    <t xml:space="preserve">End of </t>
  </si>
  <si>
    <t>Transfer</t>
  </si>
  <si>
    <t xml:space="preserve">Transfer </t>
  </si>
  <si>
    <t>RVP, psi</t>
  </si>
  <si>
    <t>Aromatics, vol%</t>
  </si>
  <si>
    <t>Benzene, vol%</t>
  </si>
  <si>
    <t>Olefin, vol%</t>
  </si>
  <si>
    <t>Sulfur, ppm</t>
  </si>
  <si>
    <r>
      <t xml:space="preserve">T50, 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F</t>
    </r>
  </si>
  <si>
    <r>
      <t xml:space="preserve">T90, 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F</t>
    </r>
  </si>
  <si>
    <t>Oxy, Max wt%</t>
  </si>
  <si>
    <t>Oxy, Min wt%</t>
  </si>
  <si>
    <t>Designated Alternative</t>
  </si>
  <si>
    <t>Limits</t>
  </si>
  <si>
    <t>Alternative Specifications</t>
  </si>
  <si>
    <t>Total Oxygen</t>
  </si>
  <si>
    <t>PM for DAL</t>
  </si>
  <si>
    <t>City, St Zip Code</t>
  </si>
  <si>
    <t>Notification Time:</t>
  </si>
  <si>
    <t>DAL Batch Report</t>
  </si>
  <si>
    <t>Notification Date:</t>
  </si>
  <si>
    <t>PM Specification Number:</t>
  </si>
  <si>
    <t>Predictive Model Specification for Averaging (DAL)</t>
  </si>
  <si>
    <t>Tank Number:</t>
  </si>
  <si>
    <t>Starting Batch Number:</t>
  </si>
  <si>
    <t>Phone Number:</t>
  </si>
  <si>
    <t>T1</t>
  </si>
  <si>
    <t>BB-110</t>
  </si>
  <si>
    <t xml:space="preserve"> Estimated Volume (bbls):</t>
  </si>
  <si>
    <t xml:space="preserve">The candidate fuel  </t>
  </si>
  <si>
    <t xml:space="preserve">request that this report be kept confidential as  trade secret  </t>
  </si>
  <si>
    <t>request that this report be kept confidential as trade secret information</t>
  </si>
  <si>
    <t>pursuant to the California Public Records CA Government Code Section 6250 et.seq.</t>
  </si>
  <si>
    <t xml:space="preserve">request that this report be kept confidential as a trade secret information </t>
  </si>
  <si>
    <t xml:space="preserve">, since the percent change in emissions between the  </t>
  </si>
  <si>
    <t>candidate fuel and the reference fuel is:</t>
  </si>
  <si>
    <t>information pursuant to the California Public Records CA Goverment Code Section 6250 et. Seq.</t>
  </si>
  <si>
    <t xml:space="preserve">Is this a summertime RVP gasoline? </t>
  </si>
  <si>
    <t>Yes(Y) or No(N)</t>
  </si>
  <si>
    <t xml:space="preserve">Yes(Y) or No(N) </t>
  </si>
  <si>
    <t>Is this a summertime RVP gasoline?</t>
  </si>
  <si>
    <t>01700</t>
  </si>
  <si>
    <t>A</t>
  </si>
  <si>
    <t>F</t>
  </si>
  <si>
    <t>TK-103</t>
  </si>
  <si>
    <t>TK-104</t>
  </si>
  <si>
    <t>TK-105</t>
  </si>
  <si>
    <t>TK-106</t>
  </si>
  <si>
    <t>TK-107</t>
  </si>
  <si>
    <t>TK-108</t>
  </si>
  <si>
    <t>TK-109</t>
  </si>
  <si>
    <t>TK-110</t>
  </si>
  <si>
    <t>TK-111</t>
  </si>
  <si>
    <t>TK-112</t>
  </si>
  <si>
    <t>TK-113</t>
  </si>
  <si>
    <t>TK-114</t>
  </si>
  <si>
    <t>TK-115</t>
  </si>
  <si>
    <t>TK-116</t>
  </si>
  <si>
    <t>TK-117</t>
  </si>
  <si>
    <t>TK-118</t>
  </si>
  <si>
    <t>TK-119</t>
  </si>
  <si>
    <t>TK-120</t>
  </si>
  <si>
    <t>TK-121</t>
  </si>
  <si>
    <t>TK-122</t>
  </si>
  <si>
    <t>TK-123</t>
  </si>
  <si>
    <t>TK-124</t>
  </si>
  <si>
    <t>TK-125</t>
  </si>
  <si>
    <t>DAL Monthly Report (Page 2)</t>
  </si>
  <si>
    <t>DAL Monthly Report (Page 1)</t>
  </si>
  <si>
    <t>y</t>
  </si>
  <si>
    <t>Revised 1/16/02</t>
  </si>
  <si>
    <t>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</si>
</sst>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m/d/yy\ h:mm"/>
    <numFmt numFmtId="170" formatCode="m/d"/>
    <numFmt numFmtId="171" formatCode="0.0"/>
    <numFmt numFmtId="172" formatCode="0;[Red]0"/>
  </numFmts>
  <fonts count="16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u val="single"/>
      <sz val="12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2"/>
      <name val="Arial"/>
      <family val="0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00">
    <xf numFmtId="0" fontId="0" fillId="0" borderId="0" xfId="0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4" xfId="0" applyBorder="1" applyAlignment="1">
      <alignment/>
    </xf>
    <xf numFmtId="171" fontId="0" fillId="0" borderId="4" xfId="0" applyBorder="1" applyAlignment="1">
      <alignment/>
    </xf>
    <xf numFmtId="2" fontId="0" fillId="0" borderId="4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71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1" fontId="0" fillId="0" borderId="0" xfId="0" applyAlignment="1">
      <alignment horizontal="center"/>
    </xf>
    <xf numFmtId="0" fontId="0" fillId="0" borderId="0" xfId="0" applyAlignment="1">
      <alignment horizontal="center"/>
    </xf>
    <xf numFmtId="171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3" xfId="0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 indent="2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1" fontId="9" fillId="0" borderId="0" xfId="0" applyNumberFormat="1" applyFont="1" applyAlignment="1">
      <alignment/>
    </xf>
    <xf numFmtId="2" fontId="0" fillId="0" borderId="9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17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172" fontId="0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 quotePrefix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20" fontId="0" fillId="0" borderId="13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20" fontId="0" fillId="0" borderId="16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3" fontId="0" fillId="0" borderId="20" xfId="0" applyNumberFormat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/>
      <protection locked="0"/>
    </xf>
    <xf numFmtId="14" fontId="13" fillId="2" borderId="0" xfId="0" applyNumberFormat="1" applyFont="1" applyFill="1" applyAlignment="1" applyProtection="1">
      <alignment horizontal="left"/>
      <protection locked="0"/>
    </xf>
    <xf numFmtId="20" fontId="13" fillId="2" borderId="0" xfId="0" applyNumberFormat="1" applyFont="1" applyFill="1" applyAlignment="1" applyProtection="1">
      <alignment horizontal="left"/>
      <protection locked="0"/>
    </xf>
    <xf numFmtId="14" fontId="13" fillId="3" borderId="0" xfId="0" applyNumberFormat="1" applyFont="1" applyFill="1" applyAlignment="1" applyProtection="1">
      <alignment horizontal="left"/>
      <protection locked="0"/>
    </xf>
    <xf numFmtId="20" fontId="13" fillId="3" borderId="0" xfId="0" applyNumberFormat="1" applyFont="1" applyFill="1" applyAlignment="1" applyProtection="1">
      <alignment horizontal="left"/>
      <protection locked="0"/>
    </xf>
    <xf numFmtId="3" fontId="13" fillId="2" borderId="0" xfId="15" applyNumberFormat="1" applyFont="1" applyFill="1" applyAlignment="1" applyProtection="1">
      <alignment horizontal="left"/>
      <protection locked="0"/>
    </xf>
    <xf numFmtId="172" fontId="13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3" fillId="4" borderId="0" xfId="0" applyFont="1" applyFill="1" applyAlignment="1" applyProtection="1">
      <alignment horizontal="left"/>
      <protection locked="0"/>
    </xf>
    <xf numFmtId="3" fontId="13" fillId="4" borderId="0" xfId="15" applyNumberFormat="1" applyFont="1" applyFill="1" applyAlignment="1" applyProtection="1">
      <alignment horizontal="left"/>
      <protection locked="0"/>
    </xf>
    <xf numFmtId="3" fontId="0" fillId="4" borderId="7" xfId="15" applyNumberFormat="1" applyFont="1" applyFill="1" applyBorder="1" applyAlignment="1" applyProtection="1">
      <alignment horizontal="left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left"/>
      <protection locked="0"/>
    </xf>
    <xf numFmtId="20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14" fontId="0" fillId="0" borderId="19" xfId="0" applyNumberFormat="1" applyBorder="1" applyAlignment="1" applyProtection="1">
      <alignment horizontal="center"/>
      <protection locked="0"/>
    </xf>
    <xf numFmtId="20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/>
      <protection locked="0"/>
    </xf>
    <xf numFmtId="20" fontId="0" fillId="0" borderId="23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0" fontId="13" fillId="4" borderId="8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indent="2"/>
    </xf>
    <xf numFmtId="0" fontId="0" fillId="0" borderId="25" xfId="0" applyFont="1" applyBorder="1" applyAlignment="1">
      <alignment/>
    </xf>
    <xf numFmtId="171" fontId="13" fillId="0" borderId="26" xfId="0" applyNumberFormat="1" applyFont="1" applyBorder="1" applyAlignment="1">
      <alignment horizontal="center"/>
    </xf>
    <xf numFmtId="171" fontId="13" fillId="0" borderId="21" xfId="0" applyNumberFormat="1" applyFont="1" applyBorder="1" applyAlignment="1">
      <alignment horizontal="center"/>
    </xf>
    <xf numFmtId="171" fontId="0" fillId="0" borderId="25" xfId="0" applyNumberFormat="1" applyBorder="1" applyAlignment="1">
      <alignment/>
    </xf>
    <xf numFmtId="0" fontId="0" fillId="0" borderId="21" xfId="0" applyFont="1" applyBorder="1" applyAlignment="1">
      <alignment horizontal="left" indent="2"/>
    </xf>
    <xf numFmtId="0" fontId="0" fillId="0" borderId="1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" xfId="0" applyFont="1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0" borderId="26" xfId="0" applyFont="1" applyBorder="1" applyAlignment="1">
      <alignment horizontal="left" indent="2"/>
    </xf>
    <xf numFmtId="0" fontId="0" fillId="0" borderId="25" xfId="0" applyFont="1" applyBorder="1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0" fillId="0" borderId="27" xfId="0" applyFont="1" applyBorder="1" applyAlignment="1">
      <alignment horizontal="left" indent="2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3" fillId="2" borderId="0" xfId="0" applyFont="1" applyFill="1" applyAlignment="1" applyProtection="1" quotePrefix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14" fontId="13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0" fontId="13" fillId="2" borderId="0" xfId="0" applyNumberFormat="1" applyFont="1" applyFill="1" applyAlignment="1" applyProtection="1">
      <alignment horizontal="left"/>
      <protection locked="0"/>
    </xf>
    <xf numFmtId="0" fontId="0" fillId="0" borderId="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22" fontId="0" fillId="0" borderId="0" xfId="0" applyNumberFormat="1" applyFont="1" applyAlignment="1">
      <alignment horizontal="left"/>
    </xf>
    <xf numFmtId="0" fontId="13" fillId="2" borderId="0" xfId="0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/>
      <protection locked="0"/>
    </xf>
    <xf numFmtId="172" fontId="0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13" fillId="0" borderId="3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71" fontId="13" fillId="0" borderId="3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2" fontId="0" fillId="0" borderId="2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13" fillId="0" borderId="2" xfId="0" applyNumberFormat="1" applyFont="1" applyBorder="1" applyAlignment="1" quotePrefix="1">
      <alignment horizontal="center"/>
    </xf>
    <xf numFmtId="2" fontId="13" fillId="0" borderId="1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71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71" fontId="13" fillId="2" borderId="3" xfId="0" applyNumberFormat="1" applyFont="1" applyFill="1" applyBorder="1" applyAlignment="1" applyProtection="1">
      <alignment horizontal="center"/>
      <protection locked="0"/>
    </xf>
    <xf numFmtId="171" fontId="0" fillId="2" borderId="10" xfId="0" applyNumberFormat="1" applyFill="1" applyBorder="1" applyAlignment="1" applyProtection="1">
      <alignment/>
      <protection locked="0"/>
    </xf>
    <xf numFmtId="2" fontId="13" fillId="5" borderId="3" xfId="0" applyNumberFormat="1" applyFon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9" fillId="0" borderId="0" xfId="0" applyFont="1" applyAlignment="1">
      <alignment horizontal="center"/>
    </xf>
    <xf numFmtId="171" fontId="13" fillId="2" borderId="26" xfId="0" applyNumberFormat="1" applyFont="1" applyFill="1" applyBorder="1" applyAlignment="1" applyProtection="1">
      <alignment horizontal="center"/>
      <protection locked="0"/>
    </xf>
    <xf numFmtId="171" fontId="0" fillId="2" borderId="25" xfId="0" applyNumberFormat="1" applyFill="1" applyBorder="1" applyAlignment="1" applyProtection="1">
      <alignment/>
      <protection locked="0"/>
    </xf>
    <xf numFmtId="2" fontId="13" fillId="2" borderId="3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/>
      <protection locked="0"/>
    </xf>
    <xf numFmtId="1" fontId="13" fillId="2" borderId="3" xfId="0" applyNumberFormat="1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 locked="0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3"/>
  <sheetViews>
    <sheetView tabSelected="1" zoomScale="75" zoomScaleNormal="75" workbookViewId="0" topLeftCell="A1">
      <selection activeCell="D37" sqref="D37"/>
    </sheetView>
  </sheetViews>
  <sheetFormatPr defaultColWidth="8.88671875" defaultRowHeight="15"/>
  <cols>
    <col min="1" max="1" width="16.6640625" style="0" customWidth="1"/>
    <col min="2" max="2" width="13.6640625" style="0" customWidth="1"/>
    <col min="3" max="12" width="9.77734375" style="0" customWidth="1"/>
    <col min="13" max="13" width="10.6640625" style="0" customWidth="1"/>
    <col min="14" max="204" width="9.77734375" style="0" customWidth="1"/>
    <col min="205" max="206" width="1.66796875" style="0" customWidth="1"/>
    <col min="207" max="16384" width="9.77734375" style="0" customWidth="1"/>
  </cols>
  <sheetData>
    <row r="1" spans="1:10" ht="18">
      <c r="A1" s="1" t="s">
        <v>0</v>
      </c>
      <c r="B1" s="6"/>
      <c r="C1" s="6"/>
      <c r="D1" s="6"/>
      <c r="E1" s="6"/>
      <c r="F1" s="20"/>
      <c r="G1" s="6"/>
      <c r="H1" s="6"/>
      <c r="I1" s="6"/>
      <c r="J1" s="2"/>
    </row>
    <row r="2" spans="1:10" ht="15.75">
      <c r="A2" s="28" t="s">
        <v>1</v>
      </c>
      <c r="F2" s="21"/>
      <c r="J2" s="2"/>
    </row>
    <row r="3" spans="1:10" ht="15.75">
      <c r="A3" s="3" t="s">
        <v>2</v>
      </c>
      <c r="J3" s="2"/>
    </row>
    <row r="4" spans="1:10" ht="15">
      <c r="A4" s="2"/>
      <c r="J4" s="2"/>
    </row>
    <row r="5" spans="1:10" ht="15">
      <c r="A5" s="2" t="s">
        <v>3</v>
      </c>
      <c r="J5" s="2"/>
    </row>
    <row r="6" spans="1:10" ht="15">
      <c r="A6" s="2" t="s">
        <v>4</v>
      </c>
      <c r="J6" s="2"/>
    </row>
    <row r="7" spans="1:10" ht="15">
      <c r="A7" s="2" t="s">
        <v>5</v>
      </c>
      <c r="J7" s="2"/>
    </row>
    <row r="8" spans="1:10" ht="15">
      <c r="A8" s="2" t="s">
        <v>6</v>
      </c>
      <c r="J8" s="2"/>
    </row>
    <row r="9" spans="1:10" ht="15">
      <c r="A9" s="2"/>
      <c r="J9" s="2"/>
    </row>
    <row r="10" spans="1:10" ht="15">
      <c r="A10" s="2" t="s">
        <v>7</v>
      </c>
      <c r="J10" s="2"/>
    </row>
    <row r="11" spans="1:10" ht="15">
      <c r="A11" s="2" t="s">
        <v>8</v>
      </c>
      <c r="J11" s="2"/>
    </row>
    <row r="12" spans="1:10" ht="15">
      <c r="A12" s="2" t="s">
        <v>9</v>
      </c>
      <c r="J12" s="2"/>
    </row>
    <row r="13" spans="1:10" ht="15">
      <c r="A13" s="2" t="s">
        <v>10</v>
      </c>
      <c r="J13" s="2"/>
    </row>
    <row r="14" spans="1:10" ht="15">
      <c r="A14" s="2"/>
      <c r="J14" s="2"/>
    </row>
    <row r="15" spans="1:10" ht="15.75">
      <c r="A15" s="3" t="s">
        <v>11</v>
      </c>
      <c r="J15" s="2"/>
    </row>
    <row r="16" spans="1:10" ht="15.75">
      <c r="A16" s="3"/>
      <c r="J16" s="2"/>
    </row>
    <row r="17" spans="1:10" ht="15">
      <c r="A17" s="2" t="s">
        <v>12</v>
      </c>
      <c r="J17" s="2"/>
    </row>
    <row r="18" spans="1:10" ht="15">
      <c r="A18" s="2"/>
      <c r="J18" s="2"/>
    </row>
    <row r="19" spans="1:10" ht="15">
      <c r="A19" s="2" t="s">
        <v>13</v>
      </c>
      <c r="B19" t="s">
        <v>14</v>
      </c>
      <c r="D19" t="s">
        <v>15</v>
      </c>
      <c r="J19" s="2"/>
    </row>
    <row r="20" spans="1:10" ht="15">
      <c r="A20" s="2"/>
      <c r="J20" s="2"/>
    </row>
    <row r="21" spans="1:10" ht="15.75">
      <c r="A21" s="2" t="s">
        <v>16</v>
      </c>
      <c r="B21" s="11">
        <v>7</v>
      </c>
      <c r="D21" t="s">
        <v>17</v>
      </c>
      <c r="F21" s="22"/>
      <c r="J21" s="2"/>
    </row>
    <row r="22" spans="1:10" ht="15.75">
      <c r="A22" s="2" t="s">
        <v>18</v>
      </c>
      <c r="B22" s="12">
        <v>189</v>
      </c>
      <c r="C22" s="15"/>
      <c r="D22" t="s">
        <v>19</v>
      </c>
      <c r="F22" s="22" t="str">
        <f>IF(OR(B22&gt;220,B22&lt;0),"INVALID ENTRY SEE PROCEDURES"," ")</f>
        <v> </v>
      </c>
      <c r="J22" s="2"/>
    </row>
    <row r="23" spans="1:10" ht="15.75">
      <c r="A23" s="2" t="s">
        <v>20</v>
      </c>
      <c r="B23" s="12">
        <v>313</v>
      </c>
      <c r="C23" s="15"/>
      <c r="D23" t="s">
        <v>19</v>
      </c>
      <c r="F23" s="22" t="str">
        <f>IF(OR(B23&gt;330,B23&lt;0),"INVALID ENTRY SEE PROCEDURES"," ")</f>
        <v> </v>
      </c>
      <c r="J23" s="2"/>
    </row>
    <row r="24" spans="1:10" ht="15.75">
      <c r="A24" s="2" t="s">
        <v>21</v>
      </c>
      <c r="B24" s="13">
        <v>22.8</v>
      </c>
      <c r="C24" s="15"/>
      <c r="D24" t="s">
        <v>22</v>
      </c>
      <c r="F24" s="22" t="str">
        <f>IF(OR(B24&gt;30,B24&lt;0),"INVALID ENTRY SEE PROCEDURES"," ")</f>
        <v> </v>
      </c>
      <c r="J24" s="2"/>
    </row>
    <row r="25" spans="1:10" ht="15.75">
      <c r="A25" s="2" t="s">
        <v>23</v>
      </c>
      <c r="B25" s="13">
        <v>5.6</v>
      </c>
      <c r="C25" s="15"/>
      <c r="D25" t="s">
        <v>22</v>
      </c>
      <c r="F25" s="22" t="str">
        <f>IF(OR(B25&gt;10,B25&lt;0),"INVALID ENTRY SEE PROCEDURES"," ")</f>
        <v> </v>
      </c>
      <c r="J25" s="2"/>
    </row>
    <row r="26" spans="1:10" ht="15">
      <c r="A26" s="2"/>
      <c r="B26" s="8" t="s">
        <v>24</v>
      </c>
      <c r="C26" t="s">
        <v>25</v>
      </c>
      <c r="J26" s="2"/>
    </row>
    <row r="27" spans="1:10" ht="15.75">
      <c r="A27" s="2" t="s">
        <v>26</v>
      </c>
      <c r="B27" s="13">
        <v>2.2</v>
      </c>
      <c r="C27" s="13">
        <v>0</v>
      </c>
      <c r="D27" s="15" t="s">
        <v>27</v>
      </c>
      <c r="F27" s="22" t="str">
        <f>IF(OR(OR(OR(B27&gt;2.7,C27&lt;0),C27&gt;2.7),B27&lt;0),"INVALID ENTRY SEE PROCEDURES"," ")</f>
        <v> </v>
      </c>
      <c r="J27" s="2"/>
    </row>
    <row r="28" spans="1:10" ht="15.75">
      <c r="A28" s="2"/>
      <c r="B28" s="8"/>
      <c r="C28" s="8"/>
      <c r="F28" s="22" t="str">
        <f>IF(C27&gt;B27,"INVALID ENTRY SEE PROCEDURES"," ")</f>
        <v> </v>
      </c>
      <c r="J28" s="2"/>
    </row>
    <row r="29" spans="1:10" ht="15.75">
      <c r="A29" s="2" t="s">
        <v>28</v>
      </c>
      <c r="B29" s="12">
        <v>11</v>
      </c>
      <c r="C29" s="15"/>
      <c r="D29" t="s">
        <v>29</v>
      </c>
      <c r="F29" s="22" t="str">
        <f>IF(OR(B29&gt;80,B29&lt;0),"INVALID ENTRY SEE PROCEDURES"," ")</f>
        <v> </v>
      </c>
      <c r="J29" s="2"/>
    </row>
    <row r="30" spans="1:10" ht="15.75">
      <c r="A30" s="2" t="s">
        <v>30</v>
      </c>
      <c r="B30" s="14">
        <v>0.67</v>
      </c>
      <c r="C30" s="15"/>
      <c r="D30" t="s">
        <v>22</v>
      </c>
      <c r="F30" s="22" t="str">
        <f>IF(OR(B30&gt;1.2,B30&lt;0),"INVALID ENTRY SEE PROCEDURES"," ")</f>
        <v> </v>
      </c>
      <c r="J30" s="2"/>
    </row>
    <row r="31" spans="1:10" ht="15">
      <c r="A31" s="2"/>
      <c r="B31" s="8"/>
      <c r="J31" s="2"/>
    </row>
    <row r="32" spans="1:10" ht="15">
      <c r="A32" s="2" t="s">
        <v>31</v>
      </c>
      <c r="J32" s="2"/>
    </row>
    <row r="33" spans="1:10" ht="15">
      <c r="A33" s="2" t="s">
        <v>32</v>
      </c>
      <c r="J33" s="2"/>
    </row>
    <row r="34" spans="1:10" ht="15">
      <c r="A34" s="2"/>
      <c r="J34" s="2"/>
    </row>
    <row r="35" spans="1:10" ht="15">
      <c r="A35" s="2"/>
      <c r="J35" s="2"/>
    </row>
    <row r="36" spans="1:10" ht="15">
      <c r="A36" s="2" t="s">
        <v>13</v>
      </c>
      <c r="J36" s="2"/>
    </row>
    <row r="37" spans="1:10" ht="18">
      <c r="A37" s="2" t="s">
        <v>18</v>
      </c>
      <c r="B37" s="12" t="s">
        <v>217</v>
      </c>
      <c r="C37" s="15"/>
      <c r="D37" s="17" t="str">
        <f aca="true" t="shared" si="0" ref="D37:D42">IF(AND(B37&lt;&gt;"A",B37&lt;&gt;"F"),"INCORRECT ENTRY  'A' OR 'F' ONLY"," ")</f>
        <v> </v>
      </c>
      <c r="J37" s="2"/>
    </row>
    <row r="38" spans="1:10" ht="18">
      <c r="A38" s="2" t="s">
        <v>20</v>
      </c>
      <c r="B38" s="12" t="s">
        <v>218</v>
      </c>
      <c r="C38" s="15"/>
      <c r="D38" s="17" t="str">
        <f t="shared" si="0"/>
        <v> </v>
      </c>
      <c r="J38" s="2"/>
    </row>
    <row r="39" spans="1:10" ht="18">
      <c r="A39" s="2" t="s">
        <v>21</v>
      </c>
      <c r="B39" s="12" t="s">
        <v>217</v>
      </c>
      <c r="C39" s="15"/>
      <c r="D39" s="17" t="str">
        <f t="shared" si="0"/>
        <v> </v>
      </c>
      <c r="J39" s="2"/>
    </row>
    <row r="40" spans="1:10" ht="18">
      <c r="A40" s="2" t="s">
        <v>23</v>
      </c>
      <c r="B40" s="12" t="s">
        <v>217</v>
      </c>
      <c r="C40" s="15"/>
      <c r="D40" s="17" t="str">
        <f t="shared" si="0"/>
        <v> </v>
      </c>
      <c r="J40" s="2"/>
    </row>
    <row r="41" spans="1:10" ht="18">
      <c r="A41" s="2" t="s">
        <v>28</v>
      </c>
      <c r="B41" s="12" t="s">
        <v>217</v>
      </c>
      <c r="C41" s="15"/>
      <c r="D41" s="17" t="str">
        <f t="shared" si="0"/>
        <v> </v>
      </c>
      <c r="J41" s="2"/>
    </row>
    <row r="42" spans="1:10" ht="18">
      <c r="A42" s="2" t="s">
        <v>33</v>
      </c>
      <c r="B42" s="12" t="s">
        <v>217</v>
      </c>
      <c r="C42" s="15"/>
      <c r="D42" s="17" t="str">
        <f t="shared" si="0"/>
        <v> </v>
      </c>
      <c r="J42" s="2"/>
    </row>
    <row r="43" spans="1:10" ht="15">
      <c r="A43" s="2"/>
      <c r="B43" s="8"/>
      <c r="J43" s="2"/>
    </row>
    <row r="44" spans="1:10" ht="15.75">
      <c r="A44" s="3"/>
      <c r="J44" s="2"/>
    </row>
    <row r="45" spans="1:10" ht="15.75">
      <c r="A45" s="3" t="s">
        <v>34</v>
      </c>
      <c r="J45" s="2"/>
    </row>
    <row r="46" spans="1:10" ht="15">
      <c r="A46" s="2"/>
      <c r="J46" s="2"/>
    </row>
    <row r="47" spans="1:10" ht="15">
      <c r="A47" s="2"/>
      <c r="H47" s="26"/>
      <c r="J47" s="2"/>
    </row>
    <row r="48" spans="1:10" ht="15">
      <c r="A48" s="2"/>
      <c r="H48" s="26"/>
      <c r="J48" s="2"/>
    </row>
    <row r="49" spans="1:10" ht="15">
      <c r="A49" s="2"/>
      <c r="J49" s="2"/>
    </row>
    <row r="50" spans="1:10" ht="15.75">
      <c r="A50" s="2"/>
      <c r="B50" s="9" t="s">
        <v>35</v>
      </c>
      <c r="J50" s="2"/>
    </row>
    <row r="51" spans="1:10" ht="15.75">
      <c r="A51" s="2"/>
      <c r="B51" s="9"/>
      <c r="J51" s="2"/>
    </row>
    <row r="52" spans="1:10" ht="15">
      <c r="A52" s="2"/>
      <c r="B52" t="s">
        <v>36</v>
      </c>
      <c r="J52" s="2"/>
    </row>
    <row r="53" spans="1:10" ht="15">
      <c r="A53" s="2"/>
      <c r="J53" s="2"/>
    </row>
    <row r="54" spans="1:10" ht="15">
      <c r="A54" s="2"/>
      <c r="B54" t="s">
        <v>37</v>
      </c>
      <c r="D54" t="s">
        <v>38</v>
      </c>
      <c r="J54" s="2"/>
    </row>
    <row r="55" spans="1:10" ht="15">
      <c r="A55" s="2"/>
      <c r="B55" t="s">
        <v>39</v>
      </c>
      <c r="D55" t="s">
        <v>39</v>
      </c>
      <c r="E55" t="s">
        <v>39</v>
      </c>
      <c r="J55" s="2"/>
    </row>
    <row r="56" spans="1:10" ht="15">
      <c r="A56" s="2"/>
      <c r="B56" t="s">
        <v>40</v>
      </c>
      <c r="D56" s="18">
        <f>($L$170)</f>
        <v>-0.01605750813983553</v>
      </c>
      <c r="F56" s="11"/>
      <c r="J56" s="2"/>
    </row>
    <row r="57" spans="1:10" ht="15">
      <c r="A57" s="2"/>
      <c r="B57" t="s">
        <v>41</v>
      </c>
      <c r="D57" s="18">
        <f>($L$171)</f>
        <v>-2.547286300715366</v>
      </c>
      <c r="F57" s="11"/>
      <c r="J57" s="2"/>
    </row>
    <row r="58" spans="1:10" ht="15">
      <c r="A58" s="2"/>
      <c r="B58" t="s">
        <v>42</v>
      </c>
      <c r="D58" s="18">
        <f>($L$176)</f>
        <v>0.029986910292967295</v>
      </c>
      <c r="E58" s="11" t="s">
        <v>39</v>
      </c>
      <c r="F58" s="11"/>
      <c r="J58" s="2"/>
    </row>
    <row r="59" spans="1:10" ht="15">
      <c r="A59" s="2"/>
      <c r="D59" s="11"/>
      <c r="E59" s="11"/>
      <c r="F59" s="11"/>
      <c r="J59" s="2"/>
    </row>
    <row r="60" spans="1:10" ht="15">
      <c r="A60" s="2"/>
      <c r="J60" s="2"/>
    </row>
    <row r="61" spans="1:10" ht="15.75">
      <c r="A61" s="2"/>
      <c r="B61" s="9" t="s">
        <v>43</v>
      </c>
      <c r="J61" s="2"/>
    </row>
    <row r="62" spans="1:10" ht="15">
      <c r="A62" s="2"/>
      <c r="J62" s="2"/>
    </row>
    <row r="63" spans="1:10" ht="15">
      <c r="A63" s="2"/>
      <c r="B63" t="s">
        <v>36</v>
      </c>
      <c r="J63" s="2"/>
    </row>
    <row r="64" spans="1:10" ht="15">
      <c r="A64" s="2"/>
      <c r="J64" s="2"/>
    </row>
    <row r="65" spans="1:10" ht="15">
      <c r="A65" s="2"/>
      <c r="B65" t="s">
        <v>37</v>
      </c>
      <c r="D65" t="s">
        <v>44</v>
      </c>
      <c r="J65" s="2"/>
    </row>
    <row r="66" spans="1:10" ht="15">
      <c r="A66" s="2"/>
      <c r="B66" t="s">
        <v>39</v>
      </c>
      <c r="D66" t="s">
        <v>39</v>
      </c>
      <c r="E66" t="s">
        <v>39</v>
      </c>
      <c r="J66" s="2"/>
    </row>
    <row r="67" spans="1:10" ht="15">
      <c r="A67" s="2"/>
      <c r="B67" t="s">
        <v>40</v>
      </c>
      <c r="C67" s="11"/>
      <c r="D67" s="18">
        <f>($L$264)</f>
        <v>-0.5770505218221883</v>
      </c>
      <c r="F67" s="11"/>
      <c r="J67" s="2"/>
    </row>
    <row r="68" spans="1:10" ht="15">
      <c r="A68" s="2"/>
      <c r="B68" t="s">
        <v>41</v>
      </c>
      <c r="C68" s="11"/>
      <c r="D68" s="18">
        <f>($L$265)</f>
        <v>-0.6845854663305667</v>
      </c>
      <c r="F68" s="11"/>
      <c r="J68" s="2"/>
    </row>
    <row r="69" spans="1:10" ht="15">
      <c r="A69" s="2"/>
      <c r="B69" t="s">
        <v>42</v>
      </c>
      <c r="C69" s="11"/>
      <c r="D69" s="18">
        <f>($L$270)</f>
        <v>-1.5511369235760575</v>
      </c>
      <c r="E69" s="11" t="s">
        <v>39</v>
      </c>
      <c r="F69" s="11"/>
      <c r="J69" s="2"/>
    </row>
    <row r="70" spans="1:10" ht="15">
      <c r="A70" s="2"/>
      <c r="C70" s="11"/>
      <c r="F70" s="11"/>
      <c r="G70" s="11"/>
      <c r="H70" s="11"/>
      <c r="J70" s="2"/>
    </row>
    <row r="71" spans="1:10" ht="18">
      <c r="A71" s="4" t="s">
        <v>45</v>
      </c>
      <c r="C71" s="16" t="str">
        <f>IF(AND(AND(AND(AND(AND(ROUND(L170,2)&lt;0.05,ROUND(L171,2)&lt;0.05),ROUND(L176,2)&lt;0.05),ROUND(L264,2)&lt;0.05),ROUND(L265,2)&lt;0.05),ROUND(L270,2)&lt;0.05),"PASSES","FAILS")</f>
        <v>PASSES</v>
      </c>
      <c r="D71" s="19" t="s">
        <v>46</v>
      </c>
      <c r="E71" s="11"/>
      <c r="F71" s="11"/>
      <c r="G71" s="11"/>
      <c r="H71" s="11"/>
      <c r="J71" s="2"/>
    </row>
    <row r="72" spans="1:10" ht="18">
      <c r="A72" s="4" t="s">
        <v>47</v>
      </c>
      <c r="C72" s="11"/>
      <c r="D72" s="11"/>
      <c r="F72" s="11"/>
      <c r="G72" s="11"/>
      <c r="J72" s="2"/>
    </row>
    <row r="73" spans="1:10" ht="18">
      <c r="A73" s="5" t="str">
        <f>IF(AND(AND(AND(AND(AND(ROUND(L170,2)&lt;0.05,ROUND(L171,2)&lt;0.05),ROUND(L176,2)&lt;0.05),ROUND(L264,2)&lt;0.05),ROUND(L265,2)&lt;0.05),ROUND(L270,2)&lt;0.05),"LESS THAN OR EQUAL TO 0.04%","GREATER THAN OR EQUAL TO 0.05%")</f>
        <v>LESS THAN OR EQUAL TO 0.04%</v>
      </c>
      <c r="J73" s="2"/>
    </row>
    <row r="74" spans="1:10" ht="15">
      <c r="A74" s="2"/>
      <c r="J74" s="2"/>
    </row>
    <row r="75" spans="1:10" ht="15">
      <c r="A75" s="2"/>
      <c r="J75" s="2"/>
    </row>
    <row r="76" spans="1:9" ht="15">
      <c r="A76" s="6"/>
      <c r="B76" s="6"/>
      <c r="C76" s="6"/>
      <c r="D76" s="6"/>
      <c r="E76" s="6"/>
      <c r="F76" s="6"/>
      <c r="G76" s="6"/>
      <c r="H76" s="6"/>
      <c r="I76" s="6"/>
    </row>
    <row r="77" ht="15">
      <c r="A77" t="s">
        <v>48</v>
      </c>
    </row>
    <row r="78" spans="2:5" ht="15">
      <c r="B78" t="s">
        <v>49</v>
      </c>
      <c r="C78" t="s">
        <v>50</v>
      </c>
      <c r="D78" t="s">
        <v>51</v>
      </c>
      <c r="E78" t="s">
        <v>52</v>
      </c>
    </row>
    <row r="79" spans="1:5" ht="15">
      <c r="A79" t="s">
        <v>53</v>
      </c>
      <c r="B79">
        <f>IF(AND(C27&gt;=1.8,B27&lt;=2.2),2,100)</f>
        <v>100</v>
      </c>
      <c r="C79">
        <f>IF(AND(C27&gt;=1.8,B27&lt;=2.2),2,100)</f>
        <v>100</v>
      </c>
      <c r="D79">
        <f>IF(AND(C27&gt;=1.8,B27&lt;=2.2),2,100)</f>
        <v>100</v>
      </c>
      <c r="E79">
        <f>IF(AND(C27&gt;=1.8,B27&lt;=2.2),2,100)</f>
        <v>100</v>
      </c>
    </row>
    <row r="80" spans="1:5" ht="15">
      <c r="A80" t="s">
        <v>54</v>
      </c>
      <c r="B80">
        <f>IF(AND(AND(C27&gt;=1.8,C27&lt;=2.2),B27&gt;2.2),2,100)</f>
        <v>100</v>
      </c>
      <c r="C80">
        <f>IF(AND(AND(C27&gt;=1.8,C27&lt;=2.2),B27&gt;2.2),1.8,100)</f>
        <v>100</v>
      </c>
      <c r="D80">
        <f>IF(AND(AND(C27&gt;=1.8,C27&lt;=2.2),B27&gt;2.2),B27,100)</f>
        <v>100</v>
      </c>
      <c r="E80">
        <f>IF(AND(AND(C27&gt;=1.8,C27&lt;=2.2),B27&gt;2.2),C27,100)</f>
        <v>100</v>
      </c>
    </row>
    <row r="81" spans="1:5" ht="15">
      <c r="A81" t="s">
        <v>55</v>
      </c>
      <c r="B81">
        <f>IF(AND(AND(C27&lt;1.8,B27&gt;=1.8),B27&lt;=2.2),2.2,100)</f>
        <v>2.2</v>
      </c>
      <c r="C81">
        <f>IF(AND(AND(C27&lt;1.8,B27&gt;=1.8),B27&lt;=2.2),2,100)</f>
        <v>2</v>
      </c>
      <c r="D81">
        <f>IF(AND(AND(C27&lt;1.8,B27&gt;=1.8),B27&lt;=2.2),B27,100)</f>
        <v>2.2</v>
      </c>
      <c r="E81">
        <f>IF(AND(AND(C27&lt;1.8,B27&gt;=1.8),B27&lt;=2.2),C27,100)</f>
        <v>0</v>
      </c>
    </row>
    <row r="82" spans="1:5" ht="15">
      <c r="A82" t="s">
        <v>56</v>
      </c>
      <c r="B82">
        <f>IF(AND($C$27&lt;1.8,$B$27&gt;2.2),2,100)</f>
        <v>100</v>
      </c>
      <c r="C82">
        <f>IF(AND($C$27&lt;1.8,$B$27&gt;2.2),2,100)</f>
        <v>100</v>
      </c>
      <c r="D82">
        <f>IF(AND($C$27&lt;1.8,$B$27&gt;2.2),B27,100)</f>
        <v>100</v>
      </c>
      <c r="E82">
        <f>IF(AND($C$27&lt;1.8,$B$27&gt;2.2),C27,100)</f>
        <v>100</v>
      </c>
    </row>
    <row r="83" spans="1:5" ht="15">
      <c r="A83" t="s">
        <v>57</v>
      </c>
      <c r="B83">
        <f>IF(AND(C27&lt;1.8,B27&lt;1.8),2,100)</f>
        <v>100</v>
      </c>
      <c r="C83">
        <f>IF(AND(C27&lt;1.8,B27&lt;1.8),2,100)</f>
        <v>100</v>
      </c>
      <c r="D83">
        <f>IF(AND(C27&lt;1.8,B27&lt;1.8),B27,100)</f>
        <v>100</v>
      </c>
      <c r="E83">
        <f>IF(AND(C27&lt;1.8,B27&lt;1.8),C27,100)</f>
        <v>100</v>
      </c>
    </row>
    <row r="84" spans="1:5" ht="15">
      <c r="A84" t="s">
        <v>58</v>
      </c>
      <c r="B84">
        <f>IF(AND(C27&gt;2.2,B27&gt;2.2),2,100)</f>
        <v>100</v>
      </c>
      <c r="C84">
        <f>IF(AND(C27&gt;2.2,B27&gt;2.2),2,100)</f>
        <v>100</v>
      </c>
      <c r="D84">
        <f>IF(AND(C27&gt;2.2,B27&gt;2.2),B27,100)</f>
        <v>100</v>
      </c>
      <c r="E84">
        <f>IF(AND(C27&gt;2.2,B27&gt;2.2),C27,100)</f>
        <v>100</v>
      </c>
    </row>
    <row r="85" spans="1:6" ht="15">
      <c r="A85" s="7" t="s">
        <v>59</v>
      </c>
      <c r="B85" s="8">
        <f>SUM(B79:B84)-500</f>
        <v>2.1999999999999886</v>
      </c>
      <c r="C85" s="8">
        <f>SUM(C79:C84)-500</f>
        <v>2</v>
      </c>
      <c r="D85" s="8">
        <f>SUM(D79:D84)-500</f>
        <v>2.1999999999999886</v>
      </c>
      <c r="E85" s="8">
        <f>SUM(E79:E84)-500</f>
        <v>0</v>
      </c>
      <c r="F85" s="15"/>
    </row>
    <row r="86" spans="1:5" ht="15">
      <c r="A86" s="8"/>
      <c r="B86" s="8"/>
      <c r="C86" s="8"/>
      <c r="D86" s="8"/>
      <c r="E86" s="8"/>
    </row>
    <row r="93" ht="15.75">
      <c r="A93" s="9" t="s">
        <v>60</v>
      </c>
    </row>
    <row r="95" ht="15">
      <c r="F95" t="s">
        <v>61</v>
      </c>
    </row>
    <row r="96" spans="1:18" ht="15">
      <c r="A96" t="s">
        <v>13</v>
      </c>
      <c r="B96" t="s">
        <v>62</v>
      </c>
      <c r="C96" t="s">
        <v>63</v>
      </c>
      <c r="G96" t="s">
        <v>64</v>
      </c>
      <c r="H96" t="s">
        <v>64</v>
      </c>
      <c r="I96" t="s">
        <v>65</v>
      </c>
      <c r="J96" t="s">
        <v>65</v>
      </c>
      <c r="K96" t="s">
        <v>44</v>
      </c>
      <c r="N96" t="s">
        <v>66</v>
      </c>
      <c r="R96" t="s">
        <v>67</v>
      </c>
    </row>
    <row r="97" spans="1:20" ht="15">
      <c r="A97" t="s">
        <v>16</v>
      </c>
      <c r="B97">
        <v>7</v>
      </c>
      <c r="C97">
        <v>7</v>
      </c>
      <c r="F97" t="s">
        <v>37</v>
      </c>
      <c r="G97" t="s">
        <v>68</v>
      </c>
      <c r="H97" t="s">
        <v>69</v>
      </c>
      <c r="I97" t="s">
        <v>68</v>
      </c>
      <c r="J97" t="s">
        <v>69</v>
      </c>
      <c r="K97" t="s">
        <v>68</v>
      </c>
      <c r="L97" t="s">
        <v>69</v>
      </c>
      <c r="N97" t="s">
        <v>37</v>
      </c>
      <c r="O97" t="s">
        <v>64</v>
      </c>
      <c r="P97" t="s">
        <v>65</v>
      </c>
      <c r="R97" t="s">
        <v>37</v>
      </c>
      <c r="T97" t="s">
        <v>70</v>
      </c>
    </row>
    <row r="98" spans="1:20" ht="15">
      <c r="A98" t="s">
        <v>18</v>
      </c>
      <c r="B98">
        <f>IF(B37="A",200,210)</f>
        <v>200</v>
      </c>
      <c r="C98">
        <f>VALUE(B22)</f>
        <v>189</v>
      </c>
      <c r="F98" t="s">
        <v>40</v>
      </c>
      <c r="G98" s="23" t="s">
        <v>71</v>
      </c>
      <c r="H98" s="23">
        <f>($J$170)</f>
        <v>2.0031872673218163</v>
      </c>
      <c r="I98" s="23" t="s">
        <v>71</v>
      </c>
      <c r="J98" s="23">
        <f>($K$170)</f>
        <v>-0.4414189983702561</v>
      </c>
      <c r="K98" s="23" t="s">
        <v>71</v>
      </c>
      <c r="L98" s="23">
        <f>($L$170)</f>
        <v>-0.01605750813983553</v>
      </c>
      <c r="N98" t="s">
        <v>40</v>
      </c>
      <c r="O98">
        <v>0.174</v>
      </c>
      <c r="P98">
        <v>0.826</v>
      </c>
      <c r="R98" t="s">
        <v>30</v>
      </c>
      <c r="T98">
        <v>0.17</v>
      </c>
    </row>
    <row r="99" spans="1:20" ht="15">
      <c r="A99" t="s">
        <v>20</v>
      </c>
      <c r="B99">
        <f>IF(B38="A",290,300)</f>
        <v>300</v>
      </c>
      <c r="C99">
        <f>VALUE(B23)</f>
        <v>313</v>
      </c>
      <c r="F99" t="s">
        <v>41</v>
      </c>
      <c r="G99" s="23" t="s">
        <v>71</v>
      </c>
      <c r="H99" s="23">
        <f>($J$171)</f>
        <v>-4.465279703739775</v>
      </c>
      <c r="I99" s="23" t="s">
        <v>71</v>
      </c>
      <c r="J99" s="23">
        <f>($K$171)</f>
        <v>-2.073766732387644</v>
      </c>
      <c r="K99" s="23" t="s">
        <v>71</v>
      </c>
      <c r="L99" s="23">
        <f>($L$171)</f>
        <v>-2.547286300715366</v>
      </c>
      <c r="N99" t="s">
        <v>41</v>
      </c>
      <c r="O99">
        <v>0.198</v>
      </c>
      <c r="P99">
        <v>0.802</v>
      </c>
      <c r="R99" t="s">
        <v>72</v>
      </c>
      <c r="T99">
        <v>1</v>
      </c>
    </row>
    <row r="100" spans="1:20" ht="15">
      <c r="A100" t="s">
        <v>21</v>
      </c>
      <c r="B100">
        <f>IF(B39="A",22,25)</f>
        <v>22</v>
      </c>
      <c r="C100">
        <f>VALUE(B24)</f>
        <v>22.8</v>
      </c>
      <c r="F100" t="s">
        <v>30</v>
      </c>
      <c r="G100" s="23">
        <f>($J$172)</f>
        <v>-3.3247551494966645</v>
      </c>
      <c r="H100" s="23" t="s">
        <v>71</v>
      </c>
      <c r="I100" s="23">
        <f>($K$172)</f>
        <v>-5.875008037461765</v>
      </c>
      <c r="J100" s="23" t="s">
        <v>71</v>
      </c>
      <c r="K100" s="23">
        <f>($L$172)</f>
        <v>-5.36598406265928</v>
      </c>
      <c r="L100" s="23" t="s">
        <v>71</v>
      </c>
      <c r="N100" t="s">
        <v>73</v>
      </c>
      <c r="O100">
        <v>0.089</v>
      </c>
      <c r="P100">
        <v>0.911</v>
      </c>
      <c r="R100" t="s">
        <v>74</v>
      </c>
      <c r="T100">
        <v>0.035</v>
      </c>
    </row>
    <row r="101" spans="1:20" ht="15">
      <c r="A101" t="s">
        <v>23</v>
      </c>
      <c r="B101">
        <f>IF(B40="A",4,6)</f>
        <v>4</v>
      </c>
      <c r="C101">
        <f>VALUE(B25)</f>
        <v>5.6</v>
      </c>
      <c r="F101" t="s">
        <v>72</v>
      </c>
      <c r="G101" s="23">
        <f>($J$173)</f>
        <v>13.273671314109968</v>
      </c>
      <c r="H101" s="23" t="s">
        <v>71</v>
      </c>
      <c r="I101" s="23">
        <f>($K$173)</f>
        <v>4.666728619212302</v>
      </c>
      <c r="J101" s="23" t="s">
        <v>71</v>
      </c>
      <c r="K101" s="23">
        <f>($L$173)</f>
        <v>6.149960972396373</v>
      </c>
      <c r="L101" s="23" t="s">
        <v>71</v>
      </c>
      <c r="R101" t="s">
        <v>75</v>
      </c>
      <c r="T101">
        <v>0.016</v>
      </c>
    </row>
    <row r="102" spans="1:12" ht="15">
      <c r="A102" t="s">
        <v>26</v>
      </c>
      <c r="B102">
        <f>VALUE(B85)</f>
        <v>2.1999999999999886</v>
      </c>
      <c r="C102">
        <f>VALUE(D85)</f>
        <v>2.1999999999999886</v>
      </c>
      <c r="F102" t="s">
        <v>74</v>
      </c>
      <c r="G102" s="23">
        <f>($J$174)</f>
        <v>1.8190669462658027</v>
      </c>
      <c r="H102" s="23" t="s">
        <v>71</v>
      </c>
      <c r="I102" s="23">
        <f>($K$174)</f>
        <v>4.61434757201351</v>
      </c>
      <c r="J102" s="23" t="s">
        <v>71</v>
      </c>
      <c r="K102" s="23">
        <f>($L$174)</f>
        <v>3.5568035887315164</v>
      </c>
      <c r="L102" s="23" t="s">
        <v>71</v>
      </c>
    </row>
    <row r="103" spans="1:12" ht="15">
      <c r="A103" t="s">
        <v>28</v>
      </c>
      <c r="B103">
        <f>IF(B41="A",30,40)</f>
        <v>30</v>
      </c>
      <c r="C103">
        <f>VALUE(B29)</f>
        <v>11</v>
      </c>
      <c r="F103" t="s">
        <v>75</v>
      </c>
      <c r="G103" s="23">
        <f>($J$175)</f>
        <v>-0.8580031860876927</v>
      </c>
      <c r="H103" s="23" t="s">
        <v>71</v>
      </c>
      <c r="I103" s="23">
        <f>($K$175)</f>
        <v>-1.6261814165170894</v>
      </c>
      <c r="J103" s="23" t="s">
        <v>71</v>
      </c>
      <c r="K103" s="23">
        <f>($L$175)</f>
        <v>-1.3756203759664354</v>
      </c>
      <c r="L103" s="23" t="s">
        <v>71</v>
      </c>
    </row>
    <row r="104" spans="1:14" ht="15">
      <c r="A104" t="s">
        <v>33</v>
      </c>
      <c r="B104">
        <f>IF(B42="A",0.8,1)</f>
        <v>0.8</v>
      </c>
      <c r="C104">
        <f>VALUE(B30)</f>
        <v>0.67</v>
      </c>
      <c r="F104" t="s">
        <v>42</v>
      </c>
      <c r="G104" s="23">
        <f>($J$176)</f>
        <v>3.350068358359918</v>
      </c>
      <c r="H104" s="23" t="s">
        <v>71</v>
      </c>
      <c r="I104" s="23">
        <f>($K$176)</f>
        <v>-0.7919594078269973</v>
      </c>
      <c r="J104" s="23" t="s">
        <v>71</v>
      </c>
      <c r="K104" s="23">
        <f>($L$176)</f>
        <v>0.029986910292967295</v>
      </c>
      <c r="L104" s="23" t="s">
        <v>71</v>
      </c>
      <c r="N104" t="s">
        <v>76</v>
      </c>
    </row>
    <row r="105" ht="15">
      <c r="N105" t="s">
        <v>77</v>
      </c>
    </row>
    <row r="107" ht="15">
      <c r="A107" t="s">
        <v>78</v>
      </c>
    </row>
    <row r="108" spans="2:6" ht="15">
      <c r="B108" t="s">
        <v>64</v>
      </c>
      <c r="C108" t="s">
        <v>64</v>
      </c>
      <c r="E108" t="s">
        <v>65</v>
      </c>
      <c r="F108" t="s">
        <v>65</v>
      </c>
    </row>
    <row r="109" spans="1:6" ht="15">
      <c r="A109" t="s">
        <v>13</v>
      </c>
      <c r="B109" t="s">
        <v>79</v>
      </c>
      <c r="C109" t="s">
        <v>80</v>
      </c>
      <c r="E109" t="s">
        <v>79</v>
      </c>
      <c r="F109" t="s">
        <v>80</v>
      </c>
    </row>
    <row r="110" spans="1:6" ht="15">
      <c r="A110" t="s">
        <v>16</v>
      </c>
      <c r="B110">
        <v>8.651419</v>
      </c>
      <c r="C110">
        <v>0.580438</v>
      </c>
      <c r="E110">
        <v>8.707348</v>
      </c>
      <c r="F110">
        <v>0.52813</v>
      </c>
    </row>
    <row r="111" spans="1:6" ht="15">
      <c r="A111" t="s">
        <v>18</v>
      </c>
      <c r="B111">
        <v>211.338086</v>
      </c>
      <c r="C111">
        <v>17.374327</v>
      </c>
      <c r="E111">
        <v>208.186678</v>
      </c>
      <c r="F111">
        <v>18.149553</v>
      </c>
    </row>
    <row r="112" spans="1:6" ht="15">
      <c r="A112" t="s">
        <v>20</v>
      </c>
      <c r="B112">
        <v>315.839826</v>
      </c>
      <c r="C112">
        <v>25.694736</v>
      </c>
      <c r="E112">
        <v>311.36879</v>
      </c>
      <c r="F112">
        <v>22.988439</v>
      </c>
    </row>
    <row r="113" spans="1:6" ht="15">
      <c r="A113" t="s">
        <v>21</v>
      </c>
      <c r="B113">
        <v>30.967805</v>
      </c>
      <c r="C113">
        <v>9.491877</v>
      </c>
      <c r="E113">
        <v>28.604566</v>
      </c>
      <c r="F113">
        <v>7.848674</v>
      </c>
    </row>
    <row r="114" spans="1:6" ht="15">
      <c r="A114" t="s">
        <v>23</v>
      </c>
      <c r="B114">
        <v>8.34672</v>
      </c>
      <c r="C114">
        <v>5.873768</v>
      </c>
      <c r="E114">
        <v>7.001772</v>
      </c>
      <c r="F114">
        <v>4.988003</v>
      </c>
    </row>
    <row r="115" spans="1:6" ht="15">
      <c r="A115" t="s">
        <v>26</v>
      </c>
      <c r="B115">
        <v>0.912512</v>
      </c>
      <c r="C115">
        <v>1.249609</v>
      </c>
      <c r="E115">
        <v>1.266843</v>
      </c>
      <c r="F115">
        <v>1.310604</v>
      </c>
    </row>
    <row r="116" spans="1:6" ht="15">
      <c r="A116" t="s">
        <v>28</v>
      </c>
      <c r="B116">
        <v>193.574245</v>
      </c>
      <c r="C116">
        <v>130.374657</v>
      </c>
      <c r="E116">
        <v>174.036113</v>
      </c>
      <c r="F116">
        <v>137.356549</v>
      </c>
    </row>
    <row r="117" spans="1:6" ht="15">
      <c r="A117" t="s">
        <v>33</v>
      </c>
      <c r="B117">
        <v>1.365963</v>
      </c>
      <c r="C117">
        <v>0.444768</v>
      </c>
      <c r="E117">
        <v>1.092985</v>
      </c>
      <c r="F117">
        <v>0.563303</v>
      </c>
    </row>
    <row r="119" spans="11:14" ht="15">
      <c r="K119" t="s">
        <v>81</v>
      </c>
      <c r="N119" t="s">
        <v>82</v>
      </c>
    </row>
    <row r="120" spans="11:23" ht="15">
      <c r="K120" s="24" t="s">
        <v>64</v>
      </c>
      <c r="L120" s="24" t="s">
        <v>64</v>
      </c>
      <c r="M120" s="24" t="s">
        <v>64</v>
      </c>
      <c r="N120" s="24" t="s">
        <v>64</v>
      </c>
      <c r="O120" s="24" t="s">
        <v>64</v>
      </c>
      <c r="P120" s="24" t="s">
        <v>64</v>
      </c>
      <c r="Q120" s="24"/>
      <c r="R120" s="24" t="s">
        <v>65</v>
      </c>
      <c r="S120" s="24" t="s">
        <v>65</v>
      </c>
      <c r="T120" s="24" t="s">
        <v>65</v>
      </c>
      <c r="U120" s="24" t="s">
        <v>65</v>
      </c>
      <c r="V120" s="24" t="s">
        <v>65</v>
      </c>
      <c r="W120" s="24" t="s">
        <v>65</v>
      </c>
    </row>
    <row r="121" spans="1:23" ht="15">
      <c r="A121" t="s">
        <v>83</v>
      </c>
      <c r="G121" t="s">
        <v>63</v>
      </c>
      <c r="K121" s="24" t="s">
        <v>69</v>
      </c>
      <c r="L121" s="24" t="s">
        <v>69</v>
      </c>
      <c r="M121" s="24" t="s">
        <v>68</v>
      </c>
      <c r="N121" s="24" t="s">
        <v>68</v>
      </c>
      <c r="O121" s="24" t="s">
        <v>68</v>
      </c>
      <c r="P121" s="24" t="s">
        <v>68</v>
      </c>
      <c r="Q121" s="24"/>
      <c r="R121" s="24" t="s">
        <v>69</v>
      </c>
      <c r="S121" s="24" t="s">
        <v>69</v>
      </c>
      <c r="T121" s="24" t="s">
        <v>68</v>
      </c>
      <c r="U121" s="24" t="s">
        <v>68</v>
      </c>
      <c r="V121" s="24" t="s">
        <v>68</v>
      </c>
      <c r="W121" s="24" t="s">
        <v>68</v>
      </c>
    </row>
    <row r="122" spans="2:23" ht="15">
      <c r="B122" t="s">
        <v>62</v>
      </c>
      <c r="C122" t="s">
        <v>62</v>
      </c>
      <c r="E122" t="s">
        <v>63</v>
      </c>
      <c r="F122" t="s">
        <v>40</v>
      </c>
      <c r="G122" t="s">
        <v>41</v>
      </c>
      <c r="H122" t="s">
        <v>84</v>
      </c>
      <c r="J122" t="s">
        <v>85</v>
      </c>
      <c r="K122" s="24" t="s">
        <v>40</v>
      </c>
      <c r="L122" s="24" t="s">
        <v>41</v>
      </c>
      <c r="M122" s="24" t="s">
        <v>33</v>
      </c>
      <c r="N122" s="24" t="s">
        <v>72</v>
      </c>
      <c r="O122" s="24" t="s">
        <v>74</v>
      </c>
      <c r="P122" s="24" t="s">
        <v>75</v>
      </c>
      <c r="Q122" s="24"/>
      <c r="R122" s="24" t="s">
        <v>40</v>
      </c>
      <c r="S122" s="24" t="s">
        <v>41</v>
      </c>
      <c r="T122" s="24" t="s">
        <v>33</v>
      </c>
      <c r="U122" s="24" t="s">
        <v>72</v>
      </c>
      <c r="V122" s="24" t="s">
        <v>74</v>
      </c>
      <c r="W122" s="24" t="s">
        <v>75</v>
      </c>
    </row>
    <row r="123" spans="1:23" ht="15">
      <c r="A123" t="s">
        <v>13</v>
      </c>
      <c r="B123" t="s">
        <v>64</v>
      </c>
      <c r="C123" t="s">
        <v>65</v>
      </c>
      <c r="E123" t="s">
        <v>64</v>
      </c>
      <c r="F123" t="s">
        <v>65</v>
      </c>
      <c r="G123" t="s">
        <v>65</v>
      </c>
      <c r="H123" t="s">
        <v>65</v>
      </c>
      <c r="J123" t="s">
        <v>86</v>
      </c>
      <c r="K123" s="27">
        <v>-0.108411656</v>
      </c>
      <c r="L123" s="27">
        <v>-0.80726502</v>
      </c>
      <c r="M123" s="27">
        <v>2.9937382</v>
      </c>
      <c r="N123" s="27">
        <v>0.668257</v>
      </c>
      <c r="O123" s="27">
        <v>2.041917</v>
      </c>
      <c r="P123" s="27">
        <v>1.041177</v>
      </c>
      <c r="R123" s="27">
        <v>-0.6826367</v>
      </c>
      <c r="S123" s="27">
        <v>-1.15555</v>
      </c>
      <c r="T123" s="27">
        <v>2.014861</v>
      </c>
      <c r="U123" s="27">
        <v>-0.12765</v>
      </c>
      <c r="V123" s="27">
        <v>0.56907</v>
      </c>
      <c r="W123" s="27">
        <v>-0.50722</v>
      </c>
    </row>
    <row r="124" spans="1:23" ht="15">
      <c r="A124" t="s">
        <v>16</v>
      </c>
      <c r="B124">
        <v>-2.8451255775811</v>
      </c>
      <c r="C124">
        <v>-3.2328176774658</v>
      </c>
      <c r="E124">
        <v>-2.8451255775811</v>
      </c>
      <c r="F124">
        <v>-3.2328176774658</v>
      </c>
      <c r="G124">
        <v>-3.232817677465775</v>
      </c>
      <c r="H124">
        <v>-3.232817677465775</v>
      </c>
      <c r="J124" t="s">
        <v>16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/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</row>
    <row r="125" spans="1:23" ht="15">
      <c r="A125" t="s">
        <v>18</v>
      </c>
      <c r="B125">
        <f aca="true" t="shared" si="1" ref="B125:B131">(B98-B111)/C111</f>
        <v>-0.6525769890252442</v>
      </c>
      <c r="C125">
        <f aca="true" t="shared" si="2" ref="C125:C131">(B98-E111)/F111</f>
        <v>-0.4510677480596905</v>
      </c>
      <c r="E125">
        <f aca="true" t="shared" si="3" ref="E125:E131">(C98-B111)/C111</f>
        <v>-1.2856950372811564</v>
      </c>
      <c r="F125">
        <f>(C98-E111)/F111</f>
        <v>-1.0571432806086187</v>
      </c>
      <c r="G125">
        <f>(A162-E111)/F111</f>
        <v>-1.0571432806086187</v>
      </c>
      <c r="H125">
        <f>(C98-E111)/F111</f>
        <v>-1.0571432806086187</v>
      </c>
      <c r="J125" t="s">
        <v>18</v>
      </c>
      <c r="K125" s="27">
        <v>-0.01161378</v>
      </c>
      <c r="L125" s="27">
        <v>0.05653436</v>
      </c>
      <c r="M125" s="27">
        <v>0</v>
      </c>
      <c r="N125" s="27">
        <v>0</v>
      </c>
      <c r="O125" s="27">
        <v>0</v>
      </c>
      <c r="P125" s="27">
        <v>0</v>
      </c>
      <c r="Q125" s="27"/>
      <c r="R125" s="27">
        <v>0.00195233</v>
      </c>
      <c r="S125" s="27">
        <v>0.076436841</v>
      </c>
      <c r="T125" s="27">
        <v>0.052416</v>
      </c>
      <c r="U125" s="27">
        <v>0.058141</v>
      </c>
      <c r="V125" s="27">
        <v>0</v>
      </c>
      <c r="W125" s="27">
        <v>0.08131</v>
      </c>
    </row>
    <row r="126" spans="1:23" ht="15">
      <c r="A126" t="s">
        <v>20</v>
      </c>
      <c r="B126">
        <f t="shared" si="1"/>
        <v>-0.6164619087738444</v>
      </c>
      <c r="C126">
        <f t="shared" si="2"/>
        <v>-0.4945438009079255</v>
      </c>
      <c r="E126">
        <f t="shared" si="3"/>
        <v>-0.11052170374507901</v>
      </c>
      <c r="F126">
        <f>(C99-E112)/F112</f>
        <v>0.07095784102609186</v>
      </c>
      <c r="G126">
        <f>(A163-E112)/F112</f>
        <v>0.07095784102609186</v>
      </c>
      <c r="H126">
        <f>(C99-E112)/F112</f>
        <v>0.07095784102609186</v>
      </c>
      <c r="J126" t="s">
        <v>20</v>
      </c>
      <c r="K126" s="27">
        <v>0.00341764</v>
      </c>
      <c r="L126" s="27">
        <v>0.017858355</v>
      </c>
      <c r="M126" s="27">
        <v>0</v>
      </c>
      <c r="N126" s="27">
        <v>0.165206</v>
      </c>
      <c r="O126" s="27">
        <v>0</v>
      </c>
      <c r="P126" s="27">
        <v>0</v>
      </c>
      <c r="Q126" s="27"/>
      <c r="R126" s="27">
        <v>-0.00820391</v>
      </c>
      <c r="S126" s="27">
        <v>0.038947849</v>
      </c>
      <c r="T126" s="27">
        <v>0</v>
      </c>
      <c r="U126" s="27">
        <v>0.089544</v>
      </c>
      <c r="V126" s="27">
        <v>0.081896</v>
      </c>
      <c r="W126" s="27">
        <v>0.070103</v>
      </c>
    </row>
    <row r="127" spans="1:23" ht="15">
      <c r="A127" t="s">
        <v>21</v>
      </c>
      <c r="B127">
        <f t="shared" si="1"/>
        <v>-0.9447873165655221</v>
      </c>
      <c r="C127">
        <f t="shared" si="2"/>
        <v>-0.8414881290775994</v>
      </c>
      <c r="E127">
        <f t="shared" si="3"/>
        <v>-0.8605047241973318</v>
      </c>
      <c r="F127">
        <f>(A164-E113)/F113</f>
        <v>-0.7395600836523466</v>
      </c>
      <c r="G127">
        <f>(A164-E113)/F113</f>
        <v>-0.7395600836523466</v>
      </c>
      <c r="H127">
        <f>(A164-E113)/F113</f>
        <v>-0.7395600836523466</v>
      </c>
      <c r="J127" t="s">
        <v>21</v>
      </c>
      <c r="K127" s="27">
        <v>0.05428291</v>
      </c>
      <c r="L127" s="27">
        <v>-0.03844685</v>
      </c>
      <c r="M127" s="27">
        <v>0.1524752</v>
      </c>
      <c r="N127" s="27">
        <v>0</v>
      </c>
      <c r="O127" s="27">
        <v>-0.09754</v>
      </c>
      <c r="P127" s="27">
        <v>-0.10224</v>
      </c>
      <c r="Q127" s="27"/>
      <c r="R127" s="27">
        <v>0.004154304</v>
      </c>
      <c r="S127" s="27">
        <v>0.001368326</v>
      </c>
      <c r="T127" s="27">
        <v>0.169401</v>
      </c>
      <c r="U127" s="27">
        <v>-0.04862</v>
      </c>
      <c r="V127" s="27">
        <v>-0.07248</v>
      </c>
      <c r="W127" s="27">
        <v>-0.06631</v>
      </c>
    </row>
    <row r="128" spans="1:23" ht="15">
      <c r="A128" t="s">
        <v>23</v>
      </c>
      <c r="B128">
        <f t="shared" si="1"/>
        <v>-0.7400224183181902</v>
      </c>
      <c r="C128">
        <f t="shared" si="2"/>
        <v>-0.601798354972922</v>
      </c>
      <c r="E128">
        <f t="shared" si="3"/>
        <v>-0.4676248704409163</v>
      </c>
      <c r="F128">
        <f>(A165-E114)/F114</f>
        <v>-0.2810287002634121</v>
      </c>
      <c r="G128">
        <f>(A165-E114)/F114</f>
        <v>-0.2810287002634121</v>
      </c>
      <c r="H128">
        <f>(A165-E114)/F114</f>
        <v>-0.2810287002634121</v>
      </c>
      <c r="J128" t="s">
        <v>23</v>
      </c>
      <c r="K128" s="27">
        <v>0.02292342</v>
      </c>
      <c r="L128" s="27">
        <v>-0.02100516</v>
      </c>
      <c r="M128" s="27">
        <v>0</v>
      </c>
      <c r="N128" s="27">
        <v>0.150707</v>
      </c>
      <c r="O128" s="27">
        <v>0</v>
      </c>
      <c r="P128" s="27">
        <v>0</v>
      </c>
      <c r="Q128" s="27"/>
      <c r="R128" s="27">
        <v>0.025949698</v>
      </c>
      <c r="S128" s="27">
        <v>-0.0068737</v>
      </c>
      <c r="T128" s="27">
        <v>0.02158</v>
      </c>
      <c r="U128" s="27">
        <v>0.135542</v>
      </c>
      <c r="V128" s="27">
        <v>0</v>
      </c>
      <c r="W128" s="27">
        <v>0</v>
      </c>
    </row>
    <row r="129" spans="1:23" ht="15">
      <c r="A129" t="s">
        <v>26</v>
      </c>
      <c r="B129">
        <f t="shared" si="1"/>
        <v>1.0303126818068602</v>
      </c>
      <c r="C129">
        <f t="shared" si="2"/>
        <v>0.7120053044245161</v>
      </c>
      <c r="E129">
        <f t="shared" si="3"/>
        <v>1.0303126818068602</v>
      </c>
      <c r="F129">
        <f>(A166-E115)/F115</f>
        <v>0.7120053044245161</v>
      </c>
      <c r="G129">
        <f>(C102-E115)/F115</f>
        <v>0.7120053044245161</v>
      </c>
      <c r="H129">
        <f>(C102-E115)/F115</f>
        <v>0.7120053044245161</v>
      </c>
      <c r="J129" t="s">
        <v>26</v>
      </c>
      <c r="K129" s="27">
        <v>0.01439508</v>
      </c>
      <c r="L129" s="27">
        <v>-0.02735656</v>
      </c>
      <c r="M129" s="27">
        <v>-0.034762</v>
      </c>
      <c r="N129" s="27">
        <v>0</v>
      </c>
      <c r="O129" s="27">
        <v>0.153291</v>
      </c>
      <c r="P129" s="27">
        <v>0</v>
      </c>
      <c r="Q129" s="27"/>
      <c r="R129" s="27">
        <v>-0.008991879</v>
      </c>
      <c r="S129" s="27">
        <v>-0.01035001</v>
      </c>
      <c r="T129" s="27">
        <v>0.022392</v>
      </c>
      <c r="U129" s="27">
        <v>0</v>
      </c>
      <c r="V129" s="27">
        <v>0.073394</v>
      </c>
      <c r="W129" s="27">
        <v>0.084501</v>
      </c>
    </row>
    <row r="130" spans="1:23" ht="15">
      <c r="A130" t="s">
        <v>28</v>
      </c>
      <c r="B130">
        <f t="shared" si="1"/>
        <v>-1.2546475577688383</v>
      </c>
      <c r="C130">
        <f t="shared" si="2"/>
        <v>-1.048629381333685</v>
      </c>
      <c r="E130">
        <f t="shared" si="3"/>
        <v>-1.4003814023457026</v>
      </c>
      <c r="F130">
        <f>(A167-E116)/F116</f>
        <v>-1.1869555124015236</v>
      </c>
      <c r="G130">
        <f>(A167-E116)/F116</f>
        <v>-1.1869555124015236</v>
      </c>
      <c r="H130">
        <f>(A167-E116)/F116</f>
        <v>-1.1869555124015236</v>
      </c>
      <c r="J130" t="s">
        <v>28</v>
      </c>
      <c r="K130" s="27">
        <v>0.01785987</v>
      </c>
      <c r="L130" s="27">
        <v>0.001933575</v>
      </c>
      <c r="M130" s="27">
        <v>0.0723141</v>
      </c>
      <c r="N130" s="27">
        <v>0</v>
      </c>
      <c r="O130" s="27">
        <v>-0.18011</v>
      </c>
      <c r="P130" s="27">
        <v>0</v>
      </c>
      <c r="Q130" s="27"/>
      <c r="R130" s="27">
        <v>0.050086115</v>
      </c>
      <c r="S130" s="27">
        <v>0.116903682</v>
      </c>
      <c r="T130" s="27">
        <v>0.140432</v>
      </c>
      <c r="U130" s="27">
        <v>0.060078</v>
      </c>
      <c r="V130" s="27">
        <v>-0.04472</v>
      </c>
      <c r="W130" s="27">
        <v>0</v>
      </c>
    </row>
    <row r="131" spans="1:23" ht="15">
      <c r="A131" t="s">
        <v>33</v>
      </c>
      <c r="B131">
        <f t="shared" si="1"/>
        <v>-1.27249037700554</v>
      </c>
      <c r="C131">
        <f t="shared" si="2"/>
        <v>-0.5201197224229235</v>
      </c>
      <c r="E131">
        <f t="shared" si="3"/>
        <v>-1.5647775919130873</v>
      </c>
      <c r="F131">
        <f>(A168-E117)/F117</f>
        <v>-0.7509013798967874</v>
      </c>
      <c r="G131">
        <f>(A168-E117)/F117</f>
        <v>-0.7509013798967874</v>
      </c>
      <c r="H131">
        <f>(A168-E117)/F117</f>
        <v>-0.7509013798967874</v>
      </c>
      <c r="J131" t="s">
        <v>33</v>
      </c>
      <c r="K131" s="27">
        <v>0</v>
      </c>
      <c r="L131" s="27">
        <v>0</v>
      </c>
      <c r="M131" s="27">
        <v>0.1235949</v>
      </c>
      <c r="N131" s="27">
        <v>0</v>
      </c>
      <c r="O131" s="27">
        <v>0</v>
      </c>
      <c r="P131" s="27">
        <v>0</v>
      </c>
      <c r="Q131" s="27"/>
      <c r="R131" s="27">
        <v>0</v>
      </c>
      <c r="S131" s="27">
        <v>0</v>
      </c>
      <c r="T131" s="27">
        <v>0.145341</v>
      </c>
      <c r="U131" s="27">
        <v>0</v>
      </c>
      <c r="V131" s="27">
        <v>0</v>
      </c>
      <c r="W131" s="27">
        <v>0</v>
      </c>
    </row>
    <row r="132" spans="1:23" ht="15">
      <c r="A132" t="s">
        <v>87</v>
      </c>
      <c r="B132">
        <f>(B124*B124)</f>
        <v>8.094739552206189</v>
      </c>
      <c r="C132">
        <f>(C124*C124)</f>
        <v>10.451110135735371</v>
      </c>
      <c r="E132">
        <f>(E124*E124)</f>
        <v>8.094739552206189</v>
      </c>
      <c r="F132">
        <f>(F124*F124)</f>
        <v>10.451110135735371</v>
      </c>
      <c r="G132">
        <f>(G124*G124)</f>
        <v>10.451110135735206</v>
      </c>
      <c r="H132">
        <f>(H124*H124)</f>
        <v>10.451110135735206</v>
      </c>
      <c r="J132" t="s">
        <v>87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/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</row>
    <row r="133" spans="1:23" ht="15">
      <c r="A133" t="s">
        <v>88</v>
      </c>
      <c r="B133">
        <f>(B124*B125)</f>
        <v>1.856663482816583</v>
      </c>
      <c r="C133">
        <f>(C124*C125)</f>
        <v>1.4582197896620575</v>
      </c>
      <c r="E133">
        <f>(E124*E125)</f>
        <v>3.6579638355377044</v>
      </c>
      <c r="F133">
        <f>(F124*F125)</f>
        <v>3.4175514851657316</v>
      </c>
      <c r="G133">
        <f>(G124*G125)</f>
        <v>3.4175514851657045</v>
      </c>
      <c r="H133">
        <f>(H124*H125)</f>
        <v>3.4175514851657045</v>
      </c>
      <c r="J133" t="s">
        <v>88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/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</row>
    <row r="134" spans="1:23" ht="15">
      <c r="A134" t="s">
        <v>89</v>
      </c>
      <c r="B134">
        <f>(B124*B129)</f>
        <v>-2.9313689639148754</v>
      </c>
      <c r="C134">
        <f>(C124*C129)</f>
        <v>-2.301783334592994</v>
      </c>
      <c r="E134">
        <f>(E124*E129)</f>
        <v>-2.9313689639148754</v>
      </c>
      <c r="F134">
        <f>(F124*F129)</f>
        <v>-2.301783334592994</v>
      </c>
      <c r="G134">
        <f>(G124*G129)</f>
        <v>-2.3017833345929763</v>
      </c>
      <c r="H134">
        <f>(H124*H129)</f>
        <v>-2.3017833345929763</v>
      </c>
      <c r="J134" t="s">
        <v>89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/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</row>
    <row r="135" spans="1:23" ht="15">
      <c r="A135" t="s">
        <v>90</v>
      </c>
      <c r="B135">
        <f>(B125*B125)</f>
        <v>0.4258567266052537</v>
      </c>
      <c r="C135">
        <f>(C125*C125)</f>
        <v>0.20346211333964045</v>
      </c>
      <c r="E135">
        <f>(E125*E125)</f>
        <v>1.6530117288893942</v>
      </c>
      <c r="F135">
        <f>(F125*F125)</f>
        <v>1.1175519157359528</v>
      </c>
      <c r="G135">
        <f>(G125*G125)</f>
        <v>1.1175519157359528</v>
      </c>
      <c r="H135">
        <f>(H125*H125)</f>
        <v>1.1175519157359528</v>
      </c>
      <c r="J135" t="s">
        <v>90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/>
      <c r="R135" s="27">
        <v>0</v>
      </c>
      <c r="S135" s="27">
        <v>0.025807977</v>
      </c>
      <c r="T135" s="27">
        <v>0</v>
      </c>
      <c r="U135" s="27">
        <v>0</v>
      </c>
      <c r="V135" s="27">
        <v>0</v>
      </c>
      <c r="W135" s="27">
        <v>0</v>
      </c>
    </row>
    <row r="136" spans="1:23" ht="15">
      <c r="A136" t="s">
        <v>91</v>
      </c>
      <c r="B136">
        <f>(B125*B126)</f>
        <v>0.40228885627639016</v>
      </c>
      <c r="C136">
        <f>(C125*C126)</f>
        <v>0.22307275859241787</v>
      </c>
      <c r="E136">
        <f>(E125*E126)</f>
        <v>0.14209720601690629</v>
      </c>
      <c r="F136">
        <f>(F125*F126)</f>
        <v>-0.07501260484722759</v>
      </c>
      <c r="G136">
        <f>(G125*G126)</f>
        <v>-0.07501260484722759</v>
      </c>
      <c r="H136">
        <f>(H125*H126)</f>
        <v>-0.07501260484722759</v>
      </c>
      <c r="J136" t="s">
        <v>91</v>
      </c>
      <c r="K136" s="27">
        <v>0.00857682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/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</row>
    <row r="137" spans="1:23" ht="15">
      <c r="A137" t="s">
        <v>92</v>
      </c>
      <c r="B137">
        <f>(B125*B129)</f>
        <v>-0.6723583476480454</v>
      </c>
      <c r="C137">
        <f>(C125*C129)</f>
        <v>-0.3211626292733209</v>
      </c>
      <c r="E137">
        <f>(E125*E129)</f>
        <v>-1.3246679018469194</v>
      </c>
      <c r="F137">
        <f>(F125*F129)</f>
        <v>-0.7526916233300712</v>
      </c>
      <c r="G137">
        <f>(G125*G129)</f>
        <v>-0.7526916233300712</v>
      </c>
      <c r="H137">
        <f>(H125*H129)</f>
        <v>-0.7526916233300712</v>
      </c>
      <c r="J137" t="s">
        <v>92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/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</row>
    <row r="138" spans="1:23" ht="15">
      <c r="A138" t="s">
        <v>93</v>
      </c>
      <c r="B138">
        <f>(B126*B126)</f>
        <v>0.3800252849690917</v>
      </c>
      <c r="C138">
        <f>(C126*C126)</f>
        <v>0.24457357101645785</v>
      </c>
      <c r="E138">
        <f>(E126*E126)</f>
        <v>0.012215046998715012</v>
      </c>
      <c r="F138">
        <f>(F126*F126)</f>
        <v>0.0050350152030841245</v>
      </c>
      <c r="G138">
        <f>(G126*G126)</f>
        <v>0.0050350152030841245</v>
      </c>
      <c r="H138">
        <f>(H126*H126)</f>
        <v>0.0050350152030841245</v>
      </c>
      <c r="J138" t="s">
        <v>93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/>
      <c r="R138" s="27">
        <v>0</v>
      </c>
      <c r="S138" s="27">
        <v>0.018209586</v>
      </c>
      <c r="T138" s="27">
        <v>0</v>
      </c>
      <c r="U138" s="27">
        <v>0</v>
      </c>
      <c r="V138" s="27">
        <v>0</v>
      </c>
      <c r="W138" s="27">
        <v>0</v>
      </c>
    </row>
    <row r="139" spans="1:23" ht="15">
      <c r="A139" t="s">
        <v>94</v>
      </c>
      <c r="B139">
        <f>(B126*B129)</f>
        <v>-0.6351485224605556</v>
      </c>
      <c r="C139">
        <f>(C126*C129)</f>
        <v>-0.3521178095167048</v>
      </c>
      <c r="E139">
        <f>(E126*E129)</f>
        <v>-0.11387191298345566</v>
      </c>
      <c r="F139">
        <f>(F126*F129)</f>
        <v>0.050522359201088954</v>
      </c>
      <c r="G139">
        <f>(G126*G129)</f>
        <v>0.050522359201088954</v>
      </c>
      <c r="H139">
        <f>(H126*H129)</f>
        <v>0.050522359201088954</v>
      </c>
      <c r="J139" t="s">
        <v>94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/>
      <c r="R139" s="27">
        <v>0</v>
      </c>
      <c r="S139" s="27">
        <v>0.015107193</v>
      </c>
      <c r="T139" s="27">
        <v>0</v>
      </c>
      <c r="U139" s="27">
        <v>0</v>
      </c>
      <c r="V139" s="27">
        <v>0</v>
      </c>
      <c r="W139" s="27">
        <v>0</v>
      </c>
    </row>
    <row r="140" spans="1:23" ht="15">
      <c r="A140" t="s">
        <v>95</v>
      </c>
      <c r="B140">
        <f>(B126*B130)</f>
        <v>0.7734424283006203</v>
      </c>
      <c r="C140">
        <f>(C126*C130)</f>
        <v>0.5185931599884871</v>
      </c>
      <c r="E140">
        <f>(E126*E130)</f>
        <v>0.15477253848017003</v>
      </c>
      <c r="F140">
        <f>(F126*F130)</f>
        <v>-0.08422380055403071</v>
      </c>
      <c r="G140">
        <f>(G126*G130)</f>
        <v>-0.08422380055403071</v>
      </c>
      <c r="H140">
        <f>(H126*H130)</f>
        <v>-0.08422380055403071</v>
      </c>
      <c r="J140" t="s">
        <v>95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/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</row>
    <row r="141" spans="1:23" ht="15">
      <c r="A141" t="s">
        <v>96</v>
      </c>
      <c r="B141">
        <f>(B126*B127)</f>
        <v>0.5824253925553001</v>
      </c>
      <c r="C141">
        <f>(C126*C127)</f>
        <v>0.41615273777293504</v>
      </c>
      <c r="E141">
        <f>(E126*E127)</f>
        <v>0.09510444819897843</v>
      </c>
      <c r="F141">
        <f>(F126*F127)</f>
        <v>-0.05247758684504641</v>
      </c>
      <c r="G141">
        <f>(G126*G127)</f>
        <v>-0.05247758684504641</v>
      </c>
      <c r="H141">
        <f>(H126*H127)</f>
        <v>-0.05247758684504641</v>
      </c>
      <c r="J141" t="s">
        <v>96</v>
      </c>
      <c r="K141" s="27">
        <v>-0.0097818</v>
      </c>
      <c r="L141" s="27">
        <v>0.018225949</v>
      </c>
      <c r="M141" s="27">
        <v>0</v>
      </c>
      <c r="N141" s="27">
        <v>0</v>
      </c>
      <c r="O141" s="27">
        <v>0</v>
      </c>
      <c r="P141" s="27">
        <v>0</v>
      </c>
      <c r="Q141" s="27"/>
      <c r="R141" s="27">
        <v>0</v>
      </c>
      <c r="S141" s="27">
        <v>0.012076013</v>
      </c>
      <c r="T141" s="27">
        <v>0</v>
      </c>
      <c r="U141" s="27">
        <v>0</v>
      </c>
      <c r="V141" s="27">
        <v>0</v>
      </c>
      <c r="W141" s="27">
        <v>0</v>
      </c>
    </row>
    <row r="142" spans="1:23" ht="15">
      <c r="A142" t="s">
        <v>97</v>
      </c>
      <c r="B142">
        <f>(B127*B127)</f>
        <v>0.89262307354308</v>
      </c>
      <c r="C142">
        <f>(C127*C127)</f>
        <v>0.7081022713785186</v>
      </c>
      <c r="E142">
        <f>(E127*E127)</f>
        <v>0.7404683803659261</v>
      </c>
      <c r="F142">
        <f>(F127*F127)</f>
        <v>0.5469491173318659</v>
      </c>
      <c r="G142">
        <f>(G127*G127)</f>
        <v>0.5469491173318659</v>
      </c>
      <c r="H142">
        <f>(H127*H127)</f>
        <v>0.5469491173318659</v>
      </c>
      <c r="J142" t="s">
        <v>97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/>
      <c r="R142" s="27">
        <v>0</v>
      </c>
      <c r="S142" s="27">
        <v>-0.01197286</v>
      </c>
      <c r="T142" s="27">
        <v>0</v>
      </c>
      <c r="U142" s="27">
        <v>0</v>
      </c>
      <c r="V142" s="27">
        <v>0</v>
      </c>
      <c r="W142" s="27">
        <v>0</v>
      </c>
    </row>
    <row r="143" spans="1:23" ht="15">
      <c r="A143" t="s">
        <v>98</v>
      </c>
      <c r="B143">
        <f>(B127*B128)</f>
        <v>0.6991637948011711</v>
      </c>
      <c r="C143">
        <f>(C127*C128)</f>
        <v>0.5064061718081412</v>
      </c>
      <c r="E143">
        <f>(E127*E128)</f>
        <v>0.4023934101665737</v>
      </c>
      <c r="F143">
        <f>(F127*F128)</f>
        <v>0.2078376090755193</v>
      </c>
      <c r="G143">
        <f>(G127*G128)</f>
        <v>0.2078376090755193</v>
      </c>
      <c r="H143">
        <f>(H127*H128)</f>
        <v>0.2078376090755193</v>
      </c>
      <c r="J143" t="s">
        <v>98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/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</row>
    <row r="144" spans="1:23" ht="15">
      <c r="A144" t="s">
        <v>99</v>
      </c>
      <c r="B144">
        <f>(B127*B129)</f>
        <v>-0.97342635386773</v>
      </c>
      <c r="C144">
        <f>(C127*C129)</f>
        <v>-0.5991440115135127</v>
      </c>
      <c r="E144">
        <f>(E127*E129)</f>
        <v>-0.8865889300952255</v>
      </c>
      <c r="F144">
        <f>(F127*F129)</f>
        <v>-0.5265707025011097</v>
      </c>
      <c r="G144">
        <f>(G127*G129)</f>
        <v>-0.5265707025011097</v>
      </c>
      <c r="H144">
        <f>(H127*H129)</f>
        <v>-0.5265707025011097</v>
      </c>
      <c r="J144" t="s">
        <v>99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/>
      <c r="R144" s="27">
        <v>-0.00579379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</row>
    <row r="145" spans="1:23" ht="15">
      <c r="A145" t="s">
        <v>100</v>
      </c>
      <c r="B145">
        <f>(B127*B130)</f>
        <v>1.1853750993399066</v>
      </c>
      <c r="C145">
        <f>(C127*C130)</f>
        <v>0.8824091761942832</v>
      </c>
      <c r="E145">
        <f>(E127*E130)</f>
        <v>1.2050348123965615</v>
      </c>
      <c r="F145">
        <f>(F127*F130)</f>
        <v>0.8778249180432848</v>
      </c>
      <c r="G145">
        <f>(G127*G130)</f>
        <v>0.8778249180432848</v>
      </c>
      <c r="H145">
        <f>(H127*H130)</f>
        <v>0.8778249180432848</v>
      </c>
      <c r="J145" t="s">
        <v>100</v>
      </c>
      <c r="K145" s="27">
        <v>0</v>
      </c>
      <c r="L145" s="27">
        <v>-0.04053717</v>
      </c>
      <c r="M145" s="27">
        <v>0</v>
      </c>
      <c r="N145" s="27">
        <v>0</v>
      </c>
      <c r="O145" s="27">
        <v>0</v>
      </c>
      <c r="P145" s="27">
        <v>0</v>
      </c>
      <c r="Q145" s="27"/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</row>
    <row r="146" spans="1:23" ht="15">
      <c r="A146" t="s">
        <v>101</v>
      </c>
      <c r="B146">
        <f>(B128*B126)</f>
        <v>0.4561956325318679</v>
      </c>
      <c r="C146">
        <f>(C128*C126)</f>
        <v>0.2976156458484458</v>
      </c>
      <c r="E146">
        <f>(E128*E126)</f>
        <v>0.0516826973947019</v>
      </c>
      <c r="F146">
        <f>(F128*F126)</f>
        <v>-0.019941189837060416</v>
      </c>
      <c r="G146">
        <f>(G128*G126)</f>
        <v>-0.019941189837060416</v>
      </c>
      <c r="H146">
        <f>(H128*H126)</f>
        <v>-0.019941189837060416</v>
      </c>
      <c r="J146" t="s">
        <v>101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/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</row>
    <row r="147" spans="1:23" ht="15">
      <c r="A147" t="s">
        <v>102</v>
      </c>
      <c r="B147">
        <f>(B129*B129)</f>
        <v>1.0615442222920444</v>
      </c>
      <c r="C147">
        <f>(C129*C129)</f>
        <v>0.506951553528648</v>
      </c>
      <c r="E147">
        <f aca="true" t="shared" si="4" ref="E147:H148">(E129*E129)</f>
        <v>1.0615442222920444</v>
      </c>
      <c r="F147">
        <f t="shared" si="4"/>
        <v>0.506951553528648</v>
      </c>
      <c r="G147">
        <f t="shared" si="4"/>
        <v>0.506951553528648</v>
      </c>
      <c r="H147">
        <f t="shared" si="4"/>
        <v>0.506951553528648</v>
      </c>
      <c r="J147" t="s">
        <v>102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/>
      <c r="R147" s="27">
        <v>0.013486985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</row>
    <row r="148" spans="1:23" ht="15">
      <c r="A148" t="s">
        <v>103</v>
      </c>
      <c r="B148">
        <f>(B130*B130)</f>
        <v>1.5741404942153103</v>
      </c>
      <c r="C148">
        <f>(C130*C130)</f>
        <v>1.0996235793962672</v>
      </c>
      <c r="E148">
        <f t="shared" si="4"/>
        <v>1.9610680720357168</v>
      </c>
      <c r="F148">
        <f t="shared" si="4"/>
        <v>1.4088633884203636</v>
      </c>
      <c r="G148">
        <f t="shared" si="4"/>
        <v>1.4088633884203636</v>
      </c>
      <c r="H148">
        <f t="shared" si="4"/>
        <v>1.4088633884203636</v>
      </c>
      <c r="J148" t="s">
        <v>103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/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</row>
    <row r="152" ht="15">
      <c r="H152" t="s">
        <v>104</v>
      </c>
    </row>
    <row r="153" ht="15">
      <c r="I153" t="s">
        <v>105</v>
      </c>
    </row>
    <row r="154" spans="9:22" ht="15">
      <c r="I154" t="s">
        <v>64</v>
      </c>
      <c r="J154" t="s">
        <v>64</v>
      </c>
      <c r="K154" t="s">
        <v>64</v>
      </c>
      <c r="L154" t="s">
        <v>64</v>
      </c>
      <c r="M154" t="s">
        <v>64</v>
      </c>
      <c r="N154" t="s">
        <v>64</v>
      </c>
      <c r="O154" t="s">
        <v>64</v>
      </c>
      <c r="P154" t="s">
        <v>65</v>
      </c>
      <c r="Q154" t="s">
        <v>65</v>
      </c>
      <c r="R154" t="s">
        <v>65</v>
      </c>
      <c r="S154" t="s">
        <v>65</v>
      </c>
      <c r="T154" t="s">
        <v>65</v>
      </c>
      <c r="U154" t="s">
        <v>65</v>
      </c>
      <c r="V154" t="s">
        <v>65</v>
      </c>
    </row>
    <row r="155" spans="9:22" ht="15">
      <c r="I155" t="s">
        <v>69</v>
      </c>
      <c r="J155" t="s">
        <v>69</v>
      </c>
      <c r="K155" t="s">
        <v>68</v>
      </c>
      <c r="L155" t="s">
        <v>68</v>
      </c>
      <c r="M155" t="s">
        <v>68</v>
      </c>
      <c r="N155" t="s">
        <v>68</v>
      </c>
      <c r="O155" t="s">
        <v>68</v>
      </c>
      <c r="P155" t="s">
        <v>69</v>
      </c>
      <c r="Q155" t="s">
        <v>69</v>
      </c>
      <c r="R155" t="s">
        <v>68</v>
      </c>
      <c r="S155" t="s">
        <v>68</v>
      </c>
      <c r="T155" t="s">
        <v>68</v>
      </c>
      <c r="U155" t="s">
        <v>68</v>
      </c>
      <c r="V155" t="s">
        <v>68</v>
      </c>
    </row>
    <row r="156" spans="9:22" ht="15">
      <c r="I156" t="s">
        <v>40</v>
      </c>
      <c r="J156" t="s">
        <v>41</v>
      </c>
      <c r="K156" t="s">
        <v>33</v>
      </c>
      <c r="L156" t="s">
        <v>72</v>
      </c>
      <c r="M156" t="s">
        <v>74</v>
      </c>
      <c r="N156" t="s">
        <v>75</v>
      </c>
      <c r="O156" t="s">
        <v>106</v>
      </c>
      <c r="P156" t="s">
        <v>40</v>
      </c>
      <c r="Q156" t="s">
        <v>41</v>
      </c>
      <c r="R156" t="s">
        <v>33</v>
      </c>
      <c r="S156" t="s">
        <v>72</v>
      </c>
      <c r="T156" t="s">
        <v>74</v>
      </c>
      <c r="U156" t="s">
        <v>75</v>
      </c>
      <c r="V156" t="s">
        <v>107</v>
      </c>
    </row>
    <row r="157" spans="7:21" ht="15">
      <c r="G157" t="s">
        <v>108</v>
      </c>
      <c r="I157">
        <f aca="true" t="shared" si="5" ref="I157:N157">(K123+$B125*K125+$B126*K126+$B127*K127+$B128*K128+$B129*K129+$B130*K130+$B131*K131+$B132*K132+$B133*K133+$B134*K134+$B135*K135+$B136*K136+$B137*K137+$B138*K138+$B139*K139+$B140*K140+$B141*K141+$B142*K142+$B143*K143+$B144*K144+$B145*K145+$B146*K146+$B147*K147+$B148*K148)</f>
        <v>-0.18101248326764513</v>
      </c>
      <c r="J157">
        <f t="shared" si="5"/>
        <v>-0.8713469147586864</v>
      </c>
      <c r="K157">
        <f t="shared" si="5"/>
        <v>2.565863805650025</v>
      </c>
      <c r="L157">
        <f t="shared" si="5"/>
        <v>0.4548872353016288</v>
      </c>
      <c r="M157">
        <f t="shared" si="5"/>
        <v>2.5179837877944022</v>
      </c>
      <c r="N157">
        <f t="shared" si="5"/>
        <v>1.137772055245659</v>
      </c>
      <c r="P157">
        <f aca="true" t="shared" si="6" ref="P157:U157">(R123+$C125*R125+$C126*R126+$C127*R127+$C128*R128+$C129*R129+$C130*R130+$C131*R131+$C132*R132+$C133*R133+$C134*R134+$C135*R135+$C136*R136+$C137*R137+$C138*R138+$C139*R139+$C140*R140+$C141*R141+$C142*R142+$C143*R143+$C144*R144+$C145*R145+$C146*R146+$C147*R147+$C148*R148)</f>
        <v>-0.7471878980818534</v>
      </c>
      <c r="Q157">
        <f t="shared" si="6"/>
        <v>-1.3353298836860614</v>
      </c>
      <c r="R157">
        <f t="shared" si="6"/>
        <v>1.6287694747840644</v>
      </c>
      <c r="S157">
        <f t="shared" si="6"/>
        <v>-0.3018143158141898</v>
      </c>
      <c r="T157">
        <f t="shared" si="6"/>
        <v>0.6887115237225643</v>
      </c>
      <c r="U157">
        <f t="shared" si="6"/>
        <v>-0.46260108460147</v>
      </c>
    </row>
    <row r="158" spans="7:22" ht="15">
      <c r="G158" t="s">
        <v>109</v>
      </c>
      <c r="I158">
        <f aca="true" t="shared" si="7" ref="I158:N158">EXP(I157)</f>
        <v>0.8344249422808899</v>
      </c>
      <c r="J158">
        <f t="shared" si="7"/>
        <v>0.4183876370788473</v>
      </c>
      <c r="K158">
        <f t="shared" si="7"/>
        <v>13.011893263508206</v>
      </c>
      <c r="L158">
        <f t="shared" si="7"/>
        <v>1.5759956563387094</v>
      </c>
      <c r="M158">
        <f t="shared" si="7"/>
        <v>12.403563220133409</v>
      </c>
      <c r="N158">
        <f t="shared" si="7"/>
        <v>3.119809852478195</v>
      </c>
      <c r="O158">
        <f>($T$98*K158+$T$99*L158+$T$100*M158+$T$101*N158)</f>
        <v>4.272059181479425</v>
      </c>
      <c r="P158">
        <f aca="true" t="shared" si="8" ref="P158:U158">EXP(P157)</f>
        <v>0.47369676509980824</v>
      </c>
      <c r="Q158">
        <f t="shared" si="8"/>
        <v>0.26307137818438114</v>
      </c>
      <c r="R158">
        <f t="shared" si="8"/>
        <v>5.097598134536028</v>
      </c>
      <c r="S158">
        <f t="shared" si="8"/>
        <v>0.7394753610226152</v>
      </c>
      <c r="T158">
        <f t="shared" si="8"/>
        <v>1.991148332318455</v>
      </c>
      <c r="U158">
        <f t="shared" si="8"/>
        <v>0.6296437570063762</v>
      </c>
      <c r="V158">
        <f>($T$98*R158+$T$99*S158+$T$100*T158+$T$101*U158)</f>
        <v>1.685831535636988</v>
      </c>
    </row>
    <row r="159" spans="1:3" ht="15">
      <c r="A159" t="s">
        <v>65</v>
      </c>
      <c r="C159" t="s">
        <v>110</v>
      </c>
    </row>
    <row r="160" spans="1:9" ht="15">
      <c r="A160" t="s">
        <v>63</v>
      </c>
      <c r="C160" t="s">
        <v>111</v>
      </c>
      <c r="I160" t="s">
        <v>112</v>
      </c>
    </row>
    <row r="161" spans="1:22" ht="15">
      <c r="A161">
        <f>(C97)</f>
        <v>7</v>
      </c>
      <c r="I161" t="s">
        <v>64</v>
      </c>
      <c r="J161" t="s">
        <v>64</v>
      </c>
      <c r="K161" t="s">
        <v>64</v>
      </c>
      <c r="L161" t="s">
        <v>64</v>
      </c>
      <c r="M161" t="s">
        <v>64</v>
      </c>
      <c r="N161" t="s">
        <v>64</v>
      </c>
      <c r="O161" t="s">
        <v>64</v>
      </c>
      <c r="P161" t="s">
        <v>65</v>
      </c>
      <c r="Q161" t="s">
        <v>65</v>
      </c>
      <c r="R161" t="s">
        <v>65</v>
      </c>
      <c r="S161" t="s">
        <v>65</v>
      </c>
      <c r="T161" t="s">
        <v>65</v>
      </c>
      <c r="U161" t="s">
        <v>65</v>
      </c>
      <c r="V161" t="s">
        <v>65</v>
      </c>
    </row>
    <row r="162" spans="1:22" ht="15">
      <c r="A162">
        <f>IF(C98&lt;181.3,181.3,C98)</f>
        <v>189</v>
      </c>
      <c r="I162" t="s">
        <v>69</v>
      </c>
      <c r="J162" t="s">
        <v>69</v>
      </c>
      <c r="K162" t="s">
        <v>68</v>
      </c>
      <c r="L162" t="s">
        <v>68</v>
      </c>
      <c r="M162" t="s">
        <v>68</v>
      </c>
      <c r="N162" t="s">
        <v>68</v>
      </c>
      <c r="O162" t="s">
        <v>68</v>
      </c>
      <c r="P162" t="s">
        <v>69</v>
      </c>
      <c r="Q162" t="s">
        <v>69</v>
      </c>
      <c r="R162" t="s">
        <v>68</v>
      </c>
      <c r="S162" t="s">
        <v>68</v>
      </c>
      <c r="T162" t="s">
        <v>68</v>
      </c>
      <c r="U162" t="s">
        <v>68</v>
      </c>
      <c r="V162" t="s">
        <v>68</v>
      </c>
    </row>
    <row r="163" spans="1:22" ht="15">
      <c r="A163" s="10">
        <f>IF(C99&lt;C163,C163,C99)</f>
        <v>313</v>
      </c>
      <c r="C163" s="10">
        <f>323.8-0.9712*B24-7.27598*B27</f>
        <v>285.64948400000003</v>
      </c>
      <c r="I163" t="s">
        <v>40</v>
      </c>
      <c r="J163" t="s">
        <v>41</v>
      </c>
      <c r="K163" t="s">
        <v>33</v>
      </c>
      <c r="L163" t="s">
        <v>72</v>
      </c>
      <c r="M163" t="s">
        <v>74</v>
      </c>
      <c r="N163" t="s">
        <v>75</v>
      </c>
      <c r="O163" t="s">
        <v>107</v>
      </c>
      <c r="P163" t="s">
        <v>40</v>
      </c>
      <c r="Q163" t="s">
        <v>41</v>
      </c>
      <c r="R163" t="s">
        <v>33</v>
      </c>
      <c r="S163" t="s">
        <v>72</v>
      </c>
      <c r="T163" t="s">
        <v>74</v>
      </c>
      <c r="U163" t="s">
        <v>75</v>
      </c>
      <c r="V163" t="s">
        <v>107</v>
      </c>
    </row>
    <row r="164" spans="1:21" ht="15">
      <c r="A164">
        <f>(C100)</f>
        <v>22.8</v>
      </c>
      <c r="G164" t="s">
        <v>108</v>
      </c>
      <c r="I164">
        <f aca="true" t="shared" si="9" ref="I164:N164">(K123+$E125*K125+$E126*K126+$E127*K127+$E128*K128+$E129*K129+$E130*K130+$E131*K131+$E132*K132+$E133*K133+$E134*K134+$E135*K135+$E136*K136+$E137*K137+$E138*K138+$E139*K139+$E140*K140+$E141*K141+$E142*K142+$E143*K143+$E144*K144+$E145*K145+$E146*K146+$E147*K147+$E148*K148)</f>
        <v>-0.161178608740824</v>
      </c>
      <c r="J164">
        <f t="shared" si="9"/>
        <v>-0.9170273560215946</v>
      </c>
      <c r="K164">
        <f t="shared" si="9"/>
        <v>2.5320509898699908</v>
      </c>
      <c r="L164">
        <f t="shared" si="9"/>
        <v>0.5795238100615514</v>
      </c>
      <c r="M164">
        <f t="shared" si="9"/>
        <v>2.536010986481548</v>
      </c>
      <c r="N164">
        <f t="shared" si="9"/>
        <v>1.1291550030019353</v>
      </c>
      <c r="P164">
        <f>(R123+$F125*R125+$F126*R126+$F127*R127+$F128*R128+$F129*R129+$F130*R130+$F131*R131+$F132*R132+$F133*R133+$F134*R134+$F135*R135+$F136*R136+$F137*R137+$F138*R138+$F139*R139+$F140*R140+$F141*R141+$F142*R142+$F143*R143+$F144*R144+$F145*R145+$F146*R146+$F147*R147+$F148*R148)</f>
        <v>-0.7516118593676872</v>
      </c>
      <c r="Q164">
        <f>S123+$G125*S125+$G126*S126+$G127*S127+$G128*S128+$G129*S129+$G130*S130+$G131*S131+$G132*S132+$G133*S133+$G134*S134+$G135*S135+$G136*S136+$G137*S137+$G138*S138+$G139*S139+$G140*S140+$G141*S141+$G142*S142+$G143*S143+$G144*S144+$G145*S145+$G146*S146+$G147*S147+$G148*S148</f>
        <v>-1.3562855961999036</v>
      </c>
      <c r="R164">
        <f>T123+$H125*T125+$H126*T126+$H127*T127+$H128*T128+$H129*T129+$H130*T130+$H131*T131+$H132*T132+$H133*T133+$H134*T134+$H135*T135+$H136*T136+$H137*T137+$H138*T138+$H139*T139+$H140*T140+$H141*T141+$H142*T142+$H143*T143+$H144*T144+$H145*T145+$H146*T146+$H147*T147+H148*T148</f>
        <v>1.568222889524667</v>
      </c>
      <c r="S164">
        <f>U123+$H125*U125+$H126*U126+$H127*U127+$H128*U128+$H129*U129+$H130*U130+$H131*U131+$H132*U132+$H133*U133+$H134*U134+$H135*U135+$H136*U136+$H137*U137+$H138*U138+$H139*U139+$H140*U140+$H141*U141+$H142*U142+$H143*U143+$H144*U144+$H145*U145+$H146*U146+$H147*U147+$H148*U148</f>
        <v>-0.2562032126590104</v>
      </c>
      <c r="T164">
        <f>V123+$H125*V125+$H126*V126+$H127*V127+$H128*V128+$H129*V129+$H130*V130+$H131*V131+$H132*V132+$H133*V133+$H134*V134+$H135*V135+$H136*V136+$H137*V137+$H138*V138+$H139*V139+$H140*V140+$H141*V141+$H142*V142+$H143*V143+$H144*V144+$H145*V145+$H146*V146+$H147*V147+$H148*V148</f>
        <v>0.7338220460393239</v>
      </c>
      <c r="U164">
        <f>W123+$H125*W125+$H126*W126+$H127*W127+$H128*W128+$H129*W129+$H130*W130+$H131*W131+$H132*W132+$H133*W133+$H134*W134+$H135*W135+$H136*W136+$H137*W137+$H138*W138+$H139*W139+$H140*W140+$H141*W141+$H142*W142+$H143*W143+$H144*W144+$H145*W145+$H146*W146+$H147*W147+$H148*W148</f>
        <v>-0.47899657324067146</v>
      </c>
    </row>
    <row r="165" spans="1:22" ht="15">
      <c r="A165">
        <f>(C101)</f>
        <v>5.6</v>
      </c>
      <c r="G165" t="s">
        <v>109</v>
      </c>
      <c r="I165">
        <f aca="true" t="shared" si="10" ref="I165:N165">EXP(I164)</f>
        <v>0.8511400364800181</v>
      </c>
      <c r="J165">
        <f t="shared" si="10"/>
        <v>0.3997054588374091</v>
      </c>
      <c r="K165">
        <f t="shared" si="10"/>
        <v>12.579279672182707</v>
      </c>
      <c r="L165">
        <f t="shared" si="10"/>
        <v>1.7851881396857598</v>
      </c>
      <c r="M165">
        <f t="shared" si="10"/>
        <v>12.629192338830038</v>
      </c>
      <c r="N165">
        <f t="shared" si="10"/>
        <v>3.0930417845440545</v>
      </c>
      <c r="O165">
        <f>($T$98*K165+$T$99*L165+$T$100*M165+$T$101*N165)</f>
        <v>4.415176084368577</v>
      </c>
      <c r="P165">
        <f aca="true" t="shared" si="11" ref="P165:U165">EXP(P164)</f>
        <v>0.47160577758399236</v>
      </c>
      <c r="Q165">
        <f t="shared" si="11"/>
        <v>0.25761589146115976</v>
      </c>
      <c r="R165">
        <f t="shared" si="11"/>
        <v>4.7981138344145355</v>
      </c>
      <c r="S165">
        <f t="shared" si="11"/>
        <v>0.7739846693274811</v>
      </c>
      <c r="T165">
        <f t="shared" si="11"/>
        <v>2.083026837045979</v>
      </c>
      <c r="U165">
        <f t="shared" si="11"/>
        <v>0.6194046072396785</v>
      </c>
      <c r="V165">
        <f>($T$98*R165+$T$99*S165+$T$100*T165+$T$101*U165)</f>
        <v>1.6724804341903965</v>
      </c>
    </row>
    <row r="166" spans="1:3" ht="15">
      <c r="A166" s="11">
        <f>IF(C102&lt;C166,C166,C102)</f>
        <v>2.1999999999999886</v>
      </c>
      <c r="C166" s="11">
        <f>4.724+0.035867*B24-0.57808*7</f>
        <v>1.4952075999999996</v>
      </c>
    </row>
    <row r="167" spans="1:8" ht="15">
      <c r="A167">
        <f>(C103)</f>
        <v>11</v>
      </c>
      <c r="H167" t="s">
        <v>113</v>
      </c>
    </row>
    <row r="168" ht="15">
      <c r="A168">
        <f>(C104)</f>
        <v>0.67</v>
      </c>
    </row>
    <row r="169" spans="8:12" ht="15">
      <c r="H169" t="s">
        <v>37</v>
      </c>
      <c r="J169" t="s">
        <v>64</v>
      </c>
      <c r="K169" t="s">
        <v>65</v>
      </c>
      <c r="L169" t="s">
        <v>38</v>
      </c>
    </row>
    <row r="170" spans="8:12" ht="15">
      <c r="H170" t="s">
        <v>114</v>
      </c>
      <c r="J170">
        <f>((I$165-I$158)/I$158)*100</f>
        <v>2.0031872673218163</v>
      </c>
      <c r="K170">
        <f>((P$165-P$158)/P$158)*100</f>
        <v>-0.4414189983702561</v>
      </c>
      <c r="L170">
        <f>(O98*J170+P98*K170)</f>
        <v>-0.01605750813983553</v>
      </c>
    </row>
    <row r="171" spans="8:12" ht="15">
      <c r="H171" t="s">
        <v>115</v>
      </c>
      <c r="J171">
        <f>((J$165-J$158)/J$158)*100</f>
        <v>-4.465279703739775</v>
      </c>
      <c r="K171">
        <f>((Q$165-Q$158)/Q$158)*100</f>
        <v>-2.073766732387644</v>
      </c>
      <c r="L171">
        <f>(O99*J171+P99*K171)</f>
        <v>-2.547286300715366</v>
      </c>
    </row>
    <row r="172" spans="8:12" ht="15">
      <c r="H172" t="s">
        <v>30</v>
      </c>
      <c r="J172">
        <f>((K$165-K$158)/K$158)*100</f>
        <v>-3.3247551494966645</v>
      </c>
      <c r="K172">
        <f>((R$165-R$158)/R$158)*100</f>
        <v>-5.875008037461765</v>
      </c>
      <c r="L172">
        <f>((((O$100*K$165+P$100*R$165)/(O$100*K$158+P$100*R$158))-1)*100)</f>
        <v>-5.36598406265928</v>
      </c>
    </row>
    <row r="173" spans="8:12" ht="15">
      <c r="H173" t="s">
        <v>72</v>
      </c>
      <c r="J173">
        <f>((L$165-L$158)/L$158)*100</f>
        <v>13.273671314109968</v>
      </c>
      <c r="K173">
        <f>((S$165-S$158)/S$158)*100</f>
        <v>4.666728619212302</v>
      </c>
      <c r="L173">
        <f>((((O$100*L$165+P$100*S$165)/(O$100*L$158+P$100*S$158))-1)*100)</f>
        <v>6.149960972396373</v>
      </c>
    </row>
    <row r="174" spans="8:14" ht="15">
      <c r="H174" t="s">
        <v>74</v>
      </c>
      <c r="J174">
        <f>((M$165-M$158)/M$158)*100</f>
        <v>1.8190669462658027</v>
      </c>
      <c r="K174">
        <f>((T$165-T$158)/T$158)*100</f>
        <v>4.61434757201351</v>
      </c>
      <c r="L174">
        <f>((((O$100*M$165+P$100*T$165)/(O$100*M$158+P$100*T$158))-1)*100)</f>
        <v>3.5568035887315164</v>
      </c>
      <c r="N174" t="s">
        <v>116</v>
      </c>
    </row>
    <row r="175" spans="8:16" ht="15">
      <c r="H175" t="s">
        <v>75</v>
      </c>
      <c r="J175">
        <f>((N$165-N$158)/N$158)*100</f>
        <v>-0.8580031860876927</v>
      </c>
      <c r="K175">
        <f>((U$165-U$158)/U$158)*100</f>
        <v>-1.6261814165170894</v>
      </c>
      <c r="L175">
        <f>((((O$100*N$165+P$100*U$165)/(O$100*N$158+P$100*U$158))-1)*100)</f>
        <v>-1.3756203759664354</v>
      </c>
      <c r="N175" t="s">
        <v>62</v>
      </c>
      <c r="O175" t="s">
        <v>63</v>
      </c>
      <c r="P175" t="s">
        <v>117</v>
      </c>
    </row>
    <row r="176" spans="8:16" ht="15">
      <c r="H176" t="s">
        <v>118</v>
      </c>
      <c r="J176">
        <f>((O$165-O$158)/O$158)*100</f>
        <v>3.350068358359918</v>
      </c>
      <c r="K176">
        <f>((V$165-V$158)/V$158)*100</f>
        <v>-0.7919594078269973</v>
      </c>
      <c r="L176">
        <f>((((O$100*O$165+P$100*V$165)/(O$100*O$158+P$100*V$158))-1)*100)</f>
        <v>0.029986910292967295</v>
      </c>
      <c r="N176">
        <f>((K158*O$100+R158*P$100)*T$98)+((L158*O$100+S158*P$100)*T$99)+((M158*O$100+T158*P$100)*T$100)+((N158*O$100+U158*P$100)*T$101)</f>
        <v>1.916005796116965</v>
      </c>
      <c r="O176">
        <f>((K165*O$100+R165*P$100)*T$98)+((L165*O$100+S165*P$100)*T$99)+((M165*O$100+T165*P$100)*T$100)+((N165*O$100+U165*P$100)*T$101)</f>
        <v>1.9165803470562546</v>
      </c>
      <c r="P176">
        <f>((O176-N176)/N176)*100</f>
        <v>0.029986910292964655</v>
      </c>
    </row>
    <row r="178" ht="15">
      <c r="N178" t="s">
        <v>119</v>
      </c>
    </row>
    <row r="179" ht="15">
      <c r="N179" t="s">
        <v>120</v>
      </c>
    </row>
    <row r="186" ht="15.75">
      <c r="A186" s="9" t="s">
        <v>121</v>
      </c>
    </row>
    <row r="189" ht="15">
      <c r="F189" t="s">
        <v>61</v>
      </c>
    </row>
    <row r="190" spans="1:18" ht="15">
      <c r="A190" t="s">
        <v>13</v>
      </c>
      <c r="B190" t="s">
        <v>62</v>
      </c>
      <c r="C190" t="s">
        <v>63</v>
      </c>
      <c r="G190" s="24" t="s">
        <v>64</v>
      </c>
      <c r="H190" s="24" t="s">
        <v>64</v>
      </c>
      <c r="I190" s="24" t="s">
        <v>65</v>
      </c>
      <c r="J190" s="24" t="s">
        <v>65</v>
      </c>
      <c r="K190" s="24" t="s">
        <v>44</v>
      </c>
      <c r="L190" s="24"/>
      <c r="N190" t="s">
        <v>66</v>
      </c>
      <c r="R190" t="s">
        <v>67</v>
      </c>
    </row>
    <row r="191" spans="1:20" ht="15">
      <c r="A191" t="s">
        <v>16</v>
      </c>
      <c r="B191">
        <v>7</v>
      </c>
      <c r="C191">
        <v>7</v>
      </c>
      <c r="F191" t="s">
        <v>37</v>
      </c>
      <c r="G191" s="24" t="s">
        <v>68</v>
      </c>
      <c r="H191" s="24" t="s">
        <v>69</v>
      </c>
      <c r="I191" s="24" t="s">
        <v>68</v>
      </c>
      <c r="J191" s="24" t="s">
        <v>69</v>
      </c>
      <c r="K191" s="24" t="s">
        <v>68</v>
      </c>
      <c r="L191" s="24" t="s">
        <v>69</v>
      </c>
      <c r="N191" t="s">
        <v>37</v>
      </c>
      <c r="O191" t="s">
        <v>64</v>
      </c>
      <c r="P191" t="s">
        <v>65</v>
      </c>
      <c r="R191" t="s">
        <v>37</v>
      </c>
      <c r="T191" t="s">
        <v>70</v>
      </c>
    </row>
    <row r="192" spans="1:20" ht="15">
      <c r="A192" t="s">
        <v>18</v>
      </c>
      <c r="B192">
        <f>IF(B37="A",200,210)</f>
        <v>200</v>
      </c>
      <c r="C192">
        <f>VALUE(B22)</f>
        <v>189</v>
      </c>
      <c r="F192" t="s">
        <v>40</v>
      </c>
      <c r="G192" s="25" t="s">
        <v>71</v>
      </c>
      <c r="H192" s="25">
        <f>($J$264)</f>
        <v>-0.32003281745418743</v>
      </c>
      <c r="I192" s="25" t="s">
        <v>71</v>
      </c>
      <c r="J192" s="25">
        <f>($K$264)</f>
        <v>-0.6311922658415977</v>
      </c>
      <c r="K192" s="25" t="s">
        <v>71</v>
      </c>
      <c r="L192" s="25">
        <f>($L$264)</f>
        <v>-0.5770505218221883</v>
      </c>
      <c r="N192" t="s">
        <v>40</v>
      </c>
      <c r="O192">
        <v>0.174</v>
      </c>
      <c r="P192">
        <v>0.826</v>
      </c>
      <c r="R192" t="s">
        <v>30</v>
      </c>
      <c r="T192">
        <v>0.17</v>
      </c>
    </row>
    <row r="193" spans="1:20" ht="15">
      <c r="A193" t="s">
        <v>20</v>
      </c>
      <c r="B193">
        <f>IF(B38="A",290,300)</f>
        <v>300</v>
      </c>
      <c r="C193">
        <f>VALUE(B23)</f>
        <v>313</v>
      </c>
      <c r="F193" t="s">
        <v>41</v>
      </c>
      <c r="G193" s="25" t="s">
        <v>71</v>
      </c>
      <c r="H193" s="25">
        <f>($J$265)</f>
        <v>-0.18944528224062857</v>
      </c>
      <c r="I193" s="25" t="s">
        <v>71</v>
      </c>
      <c r="J193" s="25">
        <f>($K$265)</f>
        <v>-0.8068270579138682</v>
      </c>
      <c r="K193" s="25" t="s">
        <v>71</v>
      </c>
      <c r="L193" s="25">
        <f>($L$265)</f>
        <v>-0.6845854663305667</v>
      </c>
      <c r="N193" t="s">
        <v>41</v>
      </c>
      <c r="O193">
        <v>0.198</v>
      </c>
      <c r="P193">
        <v>0.802</v>
      </c>
      <c r="R193" t="s">
        <v>72</v>
      </c>
      <c r="T193">
        <v>1</v>
      </c>
    </row>
    <row r="194" spans="1:20" ht="15">
      <c r="A194" t="s">
        <v>21</v>
      </c>
      <c r="B194">
        <f>IF(B39="A",22,25)</f>
        <v>22</v>
      </c>
      <c r="C194">
        <f>VALUE(B24)</f>
        <v>22.8</v>
      </c>
      <c r="F194" t="s">
        <v>30</v>
      </c>
      <c r="G194" s="25">
        <f>($J$266)</f>
        <v>2.206366805350429</v>
      </c>
      <c r="H194" s="25" t="s">
        <v>71</v>
      </c>
      <c r="I194" s="25">
        <f>($K$266)</f>
        <v>-9.036975830384234</v>
      </c>
      <c r="J194" s="25" t="s">
        <v>71</v>
      </c>
      <c r="K194" s="25">
        <f>($L$266)</f>
        <v>-6.776658466991192</v>
      </c>
      <c r="L194" s="25" t="s">
        <v>71</v>
      </c>
      <c r="N194" t="s">
        <v>73</v>
      </c>
      <c r="O194">
        <v>0.089</v>
      </c>
      <c r="P194">
        <v>0.911</v>
      </c>
      <c r="R194" t="s">
        <v>74</v>
      </c>
      <c r="T194">
        <v>0.035</v>
      </c>
    </row>
    <row r="195" spans="1:20" ht="15">
      <c r="A195" t="s">
        <v>23</v>
      </c>
      <c r="B195">
        <f>IF(B40="A",4,6)</f>
        <v>4</v>
      </c>
      <c r="C195">
        <f>VALUE(B25)</f>
        <v>5.6</v>
      </c>
      <c r="F195" t="s">
        <v>72</v>
      </c>
      <c r="G195" s="25">
        <f>($J$267)</f>
        <v>13.273671314109968</v>
      </c>
      <c r="H195" s="25" t="s">
        <v>71</v>
      </c>
      <c r="I195" s="25">
        <f>($K$267)</f>
        <v>4.666728619212302</v>
      </c>
      <c r="J195" s="25" t="s">
        <v>71</v>
      </c>
      <c r="K195" s="25">
        <f>($L$267)</f>
        <v>6.149960972396373</v>
      </c>
      <c r="L195" s="25" t="s">
        <v>71</v>
      </c>
      <c r="R195" t="s">
        <v>75</v>
      </c>
      <c r="T195">
        <v>0.016</v>
      </c>
    </row>
    <row r="196" spans="1:12" ht="15">
      <c r="A196" t="s">
        <v>26</v>
      </c>
      <c r="B196">
        <f>VALUE(C85)</f>
        <v>2</v>
      </c>
      <c r="C196">
        <f>VALUE(E85)</f>
        <v>0</v>
      </c>
      <c r="F196" t="s">
        <v>74</v>
      </c>
      <c r="G196" s="25">
        <f>($J$268)</f>
        <v>-20.33303232605344</v>
      </c>
      <c r="H196" s="25" t="s">
        <v>71</v>
      </c>
      <c r="I196" s="25">
        <f>($K$268)</f>
        <v>-6.470168421196097</v>
      </c>
      <c r="J196" s="25" t="s">
        <v>71</v>
      </c>
      <c r="K196" s="25">
        <f>($L$268)</f>
        <v>-11.67152766660985</v>
      </c>
      <c r="L196" s="25" t="s">
        <v>71</v>
      </c>
    </row>
    <row r="197" spans="1:12" ht="15">
      <c r="A197" t="s">
        <v>28</v>
      </c>
      <c r="B197">
        <f>IF(B41="A",30,40)</f>
        <v>30</v>
      </c>
      <c r="C197">
        <f>VALUE(B29)</f>
        <v>11</v>
      </c>
      <c r="F197" t="s">
        <v>75</v>
      </c>
      <c r="G197" s="25">
        <f>($J$269)</f>
        <v>-0.8580031860876927</v>
      </c>
      <c r="H197" s="25" t="s">
        <v>71</v>
      </c>
      <c r="I197" s="25">
        <f>($K$269)</f>
        <v>-13.527625609751897</v>
      </c>
      <c r="J197" s="25" t="s">
        <v>71</v>
      </c>
      <c r="K197" s="25">
        <f>($L$269)</f>
        <v>-9.3591157401545</v>
      </c>
      <c r="L197" s="25" t="s">
        <v>71</v>
      </c>
    </row>
    <row r="198" spans="1:14" ht="15">
      <c r="A198" t="s">
        <v>33</v>
      </c>
      <c r="B198">
        <f>IF(B42="A",0.8,1)</f>
        <v>0.8</v>
      </c>
      <c r="C198">
        <f>VALUE(B30)</f>
        <v>0.67</v>
      </c>
      <c r="F198" t="s">
        <v>42</v>
      </c>
      <c r="G198" s="25">
        <f>($J$270)</f>
        <v>4.017670720823957</v>
      </c>
      <c r="H198" s="25" t="s">
        <v>71</v>
      </c>
      <c r="I198" s="25">
        <f>($K$270)</f>
        <v>-2.9335498769984847</v>
      </c>
      <c r="J198" s="25" t="s">
        <v>71</v>
      </c>
      <c r="K198" s="25">
        <f>($L$270)</f>
        <v>-1.5511369235760575</v>
      </c>
      <c r="L198" s="25" t="s">
        <v>71</v>
      </c>
      <c r="N198" t="s">
        <v>76</v>
      </c>
    </row>
    <row r="199" ht="15">
      <c r="N199" t="s">
        <v>77</v>
      </c>
    </row>
    <row r="201" ht="15">
      <c r="A201" t="s">
        <v>78</v>
      </c>
    </row>
    <row r="202" spans="2:6" ht="15">
      <c r="B202" t="s">
        <v>64</v>
      </c>
      <c r="C202" t="s">
        <v>64</v>
      </c>
      <c r="E202" t="s">
        <v>65</v>
      </c>
      <c r="F202" t="s">
        <v>65</v>
      </c>
    </row>
    <row r="203" spans="1:6" ht="15">
      <c r="A203" t="s">
        <v>13</v>
      </c>
      <c r="B203" t="s">
        <v>79</v>
      </c>
      <c r="C203" t="s">
        <v>80</v>
      </c>
      <c r="E203" t="s">
        <v>79</v>
      </c>
      <c r="F203" t="s">
        <v>80</v>
      </c>
    </row>
    <row r="204" spans="1:6" ht="15">
      <c r="A204" t="s">
        <v>16</v>
      </c>
      <c r="B204">
        <v>8.651419</v>
      </c>
      <c r="C204">
        <v>0.580438</v>
      </c>
      <c r="E204">
        <v>8.707348</v>
      </c>
      <c r="F204">
        <v>0.52813</v>
      </c>
    </row>
    <row r="205" spans="1:6" ht="15">
      <c r="A205" t="s">
        <v>18</v>
      </c>
      <c r="B205">
        <v>211.338086</v>
      </c>
      <c r="C205">
        <v>17.374327</v>
      </c>
      <c r="E205">
        <v>208.186678</v>
      </c>
      <c r="F205">
        <v>18.149553</v>
      </c>
    </row>
    <row r="206" spans="1:6" ht="15">
      <c r="A206" t="s">
        <v>20</v>
      </c>
      <c r="B206">
        <v>315.839826</v>
      </c>
      <c r="C206">
        <v>25.694736</v>
      </c>
      <c r="E206">
        <v>311.36879</v>
      </c>
      <c r="F206">
        <v>22.988439</v>
      </c>
    </row>
    <row r="207" spans="1:6" ht="15">
      <c r="A207" t="s">
        <v>21</v>
      </c>
      <c r="B207">
        <v>30.967805</v>
      </c>
      <c r="C207">
        <v>9.491877</v>
      </c>
      <c r="E207">
        <v>28.604566</v>
      </c>
      <c r="F207">
        <v>7.848674</v>
      </c>
    </row>
    <row r="208" spans="1:6" ht="15">
      <c r="A208" t="s">
        <v>23</v>
      </c>
      <c r="B208">
        <v>8.34672</v>
      </c>
      <c r="C208">
        <v>5.873768</v>
      </c>
      <c r="E208">
        <v>7.001772</v>
      </c>
      <c r="F208">
        <v>4.988003</v>
      </c>
    </row>
    <row r="209" spans="1:6" ht="15">
      <c r="A209" t="s">
        <v>26</v>
      </c>
      <c r="B209">
        <v>0.912512</v>
      </c>
      <c r="C209">
        <v>1.249609</v>
      </c>
      <c r="E209">
        <v>1.266843</v>
      </c>
      <c r="F209">
        <v>1.310604</v>
      </c>
    </row>
    <row r="210" spans="1:6" ht="15">
      <c r="A210" t="s">
        <v>28</v>
      </c>
      <c r="B210">
        <v>193.574245</v>
      </c>
      <c r="C210">
        <v>130.374657</v>
      </c>
      <c r="E210">
        <v>174.036113</v>
      </c>
      <c r="F210">
        <v>137.356549</v>
      </c>
    </row>
    <row r="211" spans="1:6" ht="15">
      <c r="A211" t="s">
        <v>33</v>
      </c>
      <c r="B211">
        <v>1.365963</v>
      </c>
      <c r="C211">
        <v>0.444768</v>
      </c>
      <c r="E211">
        <v>1.092985</v>
      </c>
      <c r="F211">
        <v>0.563303</v>
      </c>
    </row>
    <row r="213" spans="11:14" ht="15">
      <c r="K213" t="s">
        <v>81</v>
      </c>
      <c r="N213" t="s">
        <v>82</v>
      </c>
    </row>
    <row r="214" spans="11:23" ht="15">
      <c r="K214" t="s">
        <v>64</v>
      </c>
      <c r="L214" t="s">
        <v>64</v>
      </c>
      <c r="M214" t="s">
        <v>64</v>
      </c>
      <c r="N214" t="s">
        <v>64</v>
      </c>
      <c r="O214" t="s">
        <v>64</v>
      </c>
      <c r="P214" t="s">
        <v>64</v>
      </c>
      <c r="R214" t="s">
        <v>65</v>
      </c>
      <c r="S214" t="s">
        <v>65</v>
      </c>
      <c r="T214" t="s">
        <v>65</v>
      </c>
      <c r="U214" t="s">
        <v>65</v>
      </c>
      <c r="V214" t="s">
        <v>65</v>
      </c>
      <c r="W214" t="s">
        <v>65</v>
      </c>
    </row>
    <row r="215" spans="1:23" ht="15">
      <c r="A215" t="s">
        <v>83</v>
      </c>
      <c r="G215" t="s">
        <v>63</v>
      </c>
      <c r="K215" t="s">
        <v>69</v>
      </c>
      <c r="L215" t="s">
        <v>69</v>
      </c>
      <c r="M215" t="s">
        <v>68</v>
      </c>
      <c r="N215" t="s">
        <v>68</v>
      </c>
      <c r="O215" t="s">
        <v>68</v>
      </c>
      <c r="P215" t="s">
        <v>68</v>
      </c>
      <c r="R215" t="s">
        <v>69</v>
      </c>
      <c r="S215" t="s">
        <v>69</v>
      </c>
      <c r="T215" t="s">
        <v>68</v>
      </c>
      <c r="U215" t="s">
        <v>68</v>
      </c>
      <c r="V215" t="s">
        <v>68</v>
      </c>
      <c r="W215" t="s">
        <v>68</v>
      </c>
    </row>
    <row r="216" spans="2:23" ht="15">
      <c r="B216" t="s">
        <v>62</v>
      </c>
      <c r="C216" t="s">
        <v>62</v>
      </c>
      <c r="E216" t="s">
        <v>63</v>
      </c>
      <c r="F216" t="s">
        <v>40</v>
      </c>
      <c r="G216" t="s">
        <v>41</v>
      </c>
      <c r="H216" t="s">
        <v>84</v>
      </c>
      <c r="J216" t="s">
        <v>85</v>
      </c>
      <c r="K216" t="s">
        <v>40</v>
      </c>
      <c r="L216" t="s">
        <v>41</v>
      </c>
      <c r="M216" t="s">
        <v>33</v>
      </c>
      <c r="N216" t="s">
        <v>72</v>
      </c>
      <c r="O216" t="s">
        <v>74</v>
      </c>
      <c r="P216" t="s">
        <v>75</v>
      </c>
      <c r="R216" t="s">
        <v>40</v>
      </c>
      <c r="S216" t="s">
        <v>41</v>
      </c>
      <c r="T216" t="s">
        <v>33</v>
      </c>
      <c r="U216" t="s">
        <v>72</v>
      </c>
      <c r="V216" t="s">
        <v>74</v>
      </c>
      <c r="W216" t="s">
        <v>75</v>
      </c>
    </row>
    <row r="217" spans="1:23" ht="15">
      <c r="A217" t="s">
        <v>13</v>
      </c>
      <c r="B217" t="s">
        <v>64</v>
      </c>
      <c r="C217" t="s">
        <v>65</v>
      </c>
      <c r="E217" t="s">
        <v>64</v>
      </c>
      <c r="F217" t="s">
        <v>65</v>
      </c>
      <c r="G217" t="s">
        <v>65</v>
      </c>
      <c r="H217" t="s">
        <v>65</v>
      </c>
      <c r="J217" t="s">
        <v>86</v>
      </c>
      <c r="K217" s="27">
        <v>-0.108411656</v>
      </c>
      <c r="L217" s="27">
        <v>-0.80726502</v>
      </c>
      <c r="M217" s="27">
        <v>2.9937382</v>
      </c>
      <c r="N217" s="27">
        <v>0.668257</v>
      </c>
      <c r="O217" s="27">
        <v>2.041917</v>
      </c>
      <c r="P217" s="27">
        <v>1.041177</v>
      </c>
      <c r="R217" s="27">
        <v>-0.6826367</v>
      </c>
      <c r="S217" s="27">
        <v>-1.15555</v>
      </c>
      <c r="T217" s="27">
        <v>2.014861</v>
      </c>
      <c r="U217" s="27">
        <v>-0.12765</v>
      </c>
      <c r="V217" s="27">
        <v>0.56907</v>
      </c>
      <c r="W217" s="27">
        <v>-0.50722</v>
      </c>
    </row>
    <row r="218" spans="1:23" ht="15">
      <c r="A218" t="s">
        <v>16</v>
      </c>
      <c r="B218">
        <v>-2.845125577581069</v>
      </c>
      <c r="C218">
        <v>-3.232817677465775</v>
      </c>
      <c r="E218">
        <v>-2.845125577581069</v>
      </c>
      <c r="F218">
        <v>-3.232817677465775</v>
      </c>
      <c r="G218">
        <v>-3.232817677465775</v>
      </c>
      <c r="H218">
        <v>-3.232817677465775</v>
      </c>
      <c r="J218" t="s">
        <v>16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/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</row>
    <row r="219" spans="1:23" ht="15">
      <c r="A219" t="s">
        <v>18</v>
      </c>
      <c r="B219">
        <f aca="true" t="shared" si="12" ref="B219:B225">(B192-B205)/C205</f>
        <v>-0.6525769890252442</v>
      </c>
      <c r="C219">
        <f aca="true" t="shared" si="13" ref="C219:C225">(B192-E205)/F205</f>
        <v>-0.4510677480596905</v>
      </c>
      <c r="E219">
        <f aca="true" t="shared" si="14" ref="E219:E225">(C192-B205)/C205</f>
        <v>-1.2856950372811564</v>
      </c>
      <c r="F219">
        <f>(C192-E205)/F205</f>
        <v>-1.0571432806086187</v>
      </c>
      <c r="G219">
        <f>(A256-E205)/F205</f>
        <v>-1.0571432806086187</v>
      </c>
      <c r="H219">
        <f>(C192-E205)/F205</f>
        <v>-1.0571432806086187</v>
      </c>
      <c r="J219" t="s">
        <v>18</v>
      </c>
      <c r="K219" s="27">
        <v>-0.01161378</v>
      </c>
      <c r="L219" s="27">
        <v>0.05653436</v>
      </c>
      <c r="M219" s="27">
        <v>0</v>
      </c>
      <c r="N219" s="27">
        <v>0</v>
      </c>
      <c r="O219" s="27">
        <v>0</v>
      </c>
      <c r="P219" s="27">
        <v>0</v>
      </c>
      <c r="Q219" s="27"/>
      <c r="R219" s="27">
        <v>0.00195233</v>
      </c>
      <c r="S219" s="27">
        <v>0.076436841</v>
      </c>
      <c r="T219" s="27">
        <v>0.052416</v>
      </c>
      <c r="U219" s="27">
        <v>0.058141</v>
      </c>
      <c r="V219" s="27">
        <v>0</v>
      </c>
      <c r="W219" s="27">
        <v>0.08131</v>
      </c>
    </row>
    <row r="220" spans="1:23" ht="15">
      <c r="A220" t="s">
        <v>20</v>
      </c>
      <c r="B220">
        <f t="shared" si="12"/>
        <v>-0.6164619087738444</v>
      </c>
      <c r="C220">
        <f t="shared" si="13"/>
        <v>-0.4945438009079255</v>
      </c>
      <c r="E220">
        <f t="shared" si="14"/>
        <v>-0.11052170374507901</v>
      </c>
      <c r="F220">
        <f>(C193-E206)/F206</f>
        <v>0.07095784102609186</v>
      </c>
      <c r="G220">
        <f>(A257-E206)/F206</f>
        <v>0.07095784102609186</v>
      </c>
      <c r="H220">
        <f>(C193-E206)/F206</f>
        <v>0.07095784102609186</v>
      </c>
      <c r="J220" t="s">
        <v>20</v>
      </c>
      <c r="K220" s="27">
        <v>0.00341764</v>
      </c>
      <c r="L220" s="27">
        <v>0.017858355</v>
      </c>
      <c r="M220" s="27">
        <v>0</v>
      </c>
      <c r="N220" s="27">
        <v>0.165206</v>
      </c>
      <c r="O220" s="27">
        <v>0</v>
      </c>
      <c r="P220" s="27">
        <v>0</v>
      </c>
      <c r="Q220" s="27"/>
      <c r="R220" s="27">
        <v>-0.00820391</v>
      </c>
      <c r="S220" s="27">
        <v>0.038947849</v>
      </c>
      <c r="T220" s="27">
        <v>0</v>
      </c>
      <c r="U220" s="27">
        <v>0.089544</v>
      </c>
      <c r="V220" s="27">
        <v>0.081896</v>
      </c>
      <c r="W220" s="27">
        <v>0.070103</v>
      </c>
    </row>
    <row r="221" spans="1:23" ht="15">
      <c r="A221" t="s">
        <v>21</v>
      </c>
      <c r="B221">
        <f t="shared" si="12"/>
        <v>-0.9447873165655221</v>
      </c>
      <c r="C221">
        <f t="shared" si="13"/>
        <v>-0.8414881290775994</v>
      </c>
      <c r="E221">
        <f t="shared" si="14"/>
        <v>-0.8605047241973318</v>
      </c>
      <c r="F221">
        <f>(A258-E207)/F207</f>
        <v>-0.7395600836523466</v>
      </c>
      <c r="G221">
        <f>(A258-E207)/F207</f>
        <v>-0.7395600836523466</v>
      </c>
      <c r="H221">
        <f>(A258-E207)/F207</f>
        <v>-0.7395600836523466</v>
      </c>
      <c r="J221" t="s">
        <v>21</v>
      </c>
      <c r="K221" s="27">
        <v>0.05428291</v>
      </c>
      <c r="L221" s="27">
        <v>-0.03844685</v>
      </c>
      <c r="M221" s="27">
        <v>0.1524752</v>
      </c>
      <c r="N221" s="27">
        <v>0</v>
      </c>
      <c r="O221" s="27">
        <v>-0.09754</v>
      </c>
      <c r="P221" s="27">
        <v>-0.10224</v>
      </c>
      <c r="Q221" s="27"/>
      <c r="R221" s="27">
        <v>0.004154304</v>
      </c>
      <c r="S221" s="27">
        <v>0.001368326</v>
      </c>
      <c r="T221" s="27">
        <v>0.169401</v>
      </c>
      <c r="U221" s="27">
        <v>-0.04862</v>
      </c>
      <c r="V221" s="27">
        <v>-0.07248</v>
      </c>
      <c r="W221" s="27">
        <v>-0.06631</v>
      </c>
    </row>
    <row r="222" spans="1:23" ht="15">
      <c r="A222" t="s">
        <v>23</v>
      </c>
      <c r="B222">
        <f t="shared" si="12"/>
        <v>-0.7400224183181902</v>
      </c>
      <c r="C222">
        <f t="shared" si="13"/>
        <v>-0.601798354972922</v>
      </c>
      <c r="E222">
        <f t="shared" si="14"/>
        <v>-0.4676248704409163</v>
      </c>
      <c r="F222">
        <f>(A259-E208)/F208</f>
        <v>-0.2810287002634121</v>
      </c>
      <c r="G222">
        <f>(A259-E208)/F208</f>
        <v>-0.2810287002634121</v>
      </c>
      <c r="H222">
        <f>(A259-E208)/F208</f>
        <v>-0.2810287002634121</v>
      </c>
      <c r="J222" t="s">
        <v>23</v>
      </c>
      <c r="K222" s="27">
        <v>0.02292342</v>
      </c>
      <c r="L222" s="27">
        <v>-0.02100516</v>
      </c>
      <c r="M222" s="27">
        <v>0</v>
      </c>
      <c r="N222" s="27">
        <v>0.150707</v>
      </c>
      <c r="O222" s="27">
        <v>0</v>
      </c>
      <c r="P222" s="27">
        <v>0</v>
      </c>
      <c r="Q222" s="27"/>
      <c r="R222" s="27">
        <v>0.025949698</v>
      </c>
      <c r="S222" s="27">
        <v>-0.0068737</v>
      </c>
      <c r="T222" s="27">
        <v>0.02158</v>
      </c>
      <c r="U222" s="27">
        <v>0.135542</v>
      </c>
      <c r="V222" s="27">
        <v>0</v>
      </c>
      <c r="W222" s="27">
        <v>0</v>
      </c>
    </row>
    <row r="223" spans="1:23" ht="15">
      <c r="A223" t="s">
        <v>26</v>
      </c>
      <c r="B223">
        <f t="shared" si="12"/>
        <v>0.8702626181469564</v>
      </c>
      <c r="C223">
        <f t="shared" si="13"/>
        <v>0.5594039084269543</v>
      </c>
      <c r="E223">
        <f t="shared" si="14"/>
        <v>-0.7302380184521718</v>
      </c>
      <c r="F223">
        <f>(A260-E209)/F209</f>
        <v>0.1742437837821338</v>
      </c>
      <c r="G223">
        <f>(C196-E209)/F209</f>
        <v>-0.9666100515487515</v>
      </c>
      <c r="H223">
        <f>(C196-E209)/F209</f>
        <v>-0.9666100515487515</v>
      </c>
      <c r="J223" t="s">
        <v>26</v>
      </c>
      <c r="K223" s="27">
        <v>0.01439508</v>
      </c>
      <c r="L223" s="27">
        <v>-0.02735656</v>
      </c>
      <c r="M223" s="27">
        <v>-0.034762</v>
      </c>
      <c r="N223" s="27">
        <v>0</v>
      </c>
      <c r="O223" s="27">
        <v>0.153291</v>
      </c>
      <c r="P223" s="27">
        <v>0</v>
      </c>
      <c r="Q223" s="27"/>
      <c r="R223" s="27">
        <v>-0.008991879</v>
      </c>
      <c r="S223" s="27">
        <v>-0.01035001</v>
      </c>
      <c r="T223" s="27">
        <v>0.022392</v>
      </c>
      <c r="U223" s="27">
        <v>0</v>
      </c>
      <c r="V223" s="27">
        <v>0.073394</v>
      </c>
      <c r="W223" s="27">
        <v>0.084501</v>
      </c>
    </row>
    <row r="224" spans="1:23" ht="15">
      <c r="A224" t="s">
        <v>28</v>
      </c>
      <c r="B224">
        <f t="shared" si="12"/>
        <v>-1.2546475577688383</v>
      </c>
      <c r="C224">
        <f t="shared" si="13"/>
        <v>-1.048629381333685</v>
      </c>
      <c r="E224">
        <f t="shared" si="14"/>
        <v>-1.4003814023457026</v>
      </c>
      <c r="F224">
        <f>(A261-E210)/F210</f>
        <v>-1.1869555124015236</v>
      </c>
      <c r="G224">
        <f>(A261-E210)/F210</f>
        <v>-1.1869555124015236</v>
      </c>
      <c r="H224">
        <f>(A261-E210)/F210</f>
        <v>-1.1869555124015236</v>
      </c>
      <c r="J224" t="s">
        <v>28</v>
      </c>
      <c r="K224" s="27">
        <v>0.01785987</v>
      </c>
      <c r="L224" s="27">
        <v>0.001933575</v>
      </c>
      <c r="M224" s="27">
        <v>0.0723141</v>
      </c>
      <c r="N224" s="27">
        <v>0</v>
      </c>
      <c r="O224" s="27">
        <v>-0.18011</v>
      </c>
      <c r="P224" s="27">
        <v>0</v>
      </c>
      <c r="Q224" s="27"/>
      <c r="R224" s="27">
        <v>0.050086115</v>
      </c>
      <c r="S224" s="27">
        <v>0.116903682</v>
      </c>
      <c r="T224" s="27">
        <v>0.140432</v>
      </c>
      <c r="U224" s="27">
        <v>0.060078</v>
      </c>
      <c r="V224" s="27">
        <v>-0.04472</v>
      </c>
      <c r="W224" s="27">
        <v>0</v>
      </c>
    </row>
    <row r="225" spans="1:23" ht="15">
      <c r="A225" t="s">
        <v>33</v>
      </c>
      <c r="B225">
        <f t="shared" si="12"/>
        <v>-1.27249037700554</v>
      </c>
      <c r="C225">
        <f t="shared" si="13"/>
        <v>-0.5201197224229235</v>
      </c>
      <c r="E225">
        <f t="shared" si="14"/>
        <v>-1.5647775919130873</v>
      </c>
      <c r="F225">
        <f>(A262-E211)/F211</f>
        <v>-0.7509013798967874</v>
      </c>
      <c r="G225">
        <f>(A262-E211)/F211</f>
        <v>-0.7509013798967874</v>
      </c>
      <c r="H225">
        <f>(A262-E211)/F211</f>
        <v>-0.7509013798967874</v>
      </c>
      <c r="J225" t="s">
        <v>33</v>
      </c>
      <c r="K225" s="27">
        <v>0</v>
      </c>
      <c r="L225" s="27">
        <v>0</v>
      </c>
      <c r="M225" s="27">
        <v>0.1235949</v>
      </c>
      <c r="N225" s="27">
        <v>0</v>
      </c>
      <c r="O225" s="27">
        <v>0</v>
      </c>
      <c r="P225" s="27">
        <v>0</v>
      </c>
      <c r="Q225" s="27"/>
      <c r="R225" s="27">
        <v>0</v>
      </c>
      <c r="S225" s="27">
        <v>0</v>
      </c>
      <c r="T225" s="27">
        <v>0.145341</v>
      </c>
      <c r="U225" s="27">
        <v>0</v>
      </c>
      <c r="V225" s="27">
        <v>0</v>
      </c>
      <c r="W225" s="27">
        <v>0</v>
      </c>
    </row>
    <row r="226" spans="1:23" ht="15">
      <c r="A226" t="s">
        <v>87</v>
      </c>
      <c r="B226">
        <f>(B218*B218)</f>
        <v>8.094739552206011</v>
      </c>
      <c r="C226">
        <f>(C218*C218)</f>
        <v>10.451110135735206</v>
      </c>
      <c r="E226">
        <f>(E218*E218)</f>
        <v>8.094739552206011</v>
      </c>
      <c r="F226">
        <f>(F218*F218)</f>
        <v>10.451110135735206</v>
      </c>
      <c r="G226">
        <f>(G218*G218)</f>
        <v>10.451110135735206</v>
      </c>
      <c r="H226">
        <f>(H218*H218)</f>
        <v>10.451110135735206</v>
      </c>
      <c r="J226" t="s">
        <v>87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/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</row>
    <row r="227" spans="1:23" ht="15">
      <c r="A227" t="s">
        <v>88</v>
      </c>
      <c r="B227">
        <f>(B218*B219)</f>
        <v>1.856663482816563</v>
      </c>
      <c r="C227">
        <f>(C218*C219)</f>
        <v>1.458219789662046</v>
      </c>
      <c r="E227">
        <f>(E218*E219)</f>
        <v>3.6579638355376645</v>
      </c>
      <c r="F227">
        <f>(F218*F219)</f>
        <v>3.4175514851657045</v>
      </c>
      <c r="G227">
        <f>(G218*G219)</f>
        <v>3.4175514851657045</v>
      </c>
      <c r="H227">
        <f>(H218*H219)</f>
        <v>3.4175514851657045</v>
      </c>
      <c r="J227" t="s">
        <v>88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/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</row>
    <row r="228" spans="1:23" ht="15">
      <c r="A228" t="s">
        <v>89</v>
      </c>
      <c r="B228">
        <f>(B218*B223)</f>
        <v>-2.4760064341025725</v>
      </c>
      <c r="C228">
        <f>(C218*C223)</f>
        <v>-1.8084508440061033</v>
      </c>
      <c r="E228">
        <f>(E218*E223)</f>
        <v>2.077618864020391</v>
      </c>
      <c r="F228">
        <f>(F218*F223)</f>
        <v>-0.5632983843994064</v>
      </c>
      <c r="G228">
        <f>(G218*G223)</f>
        <v>3.1248740618629074</v>
      </c>
      <c r="H228">
        <f>(H218*H223)</f>
        <v>3.1248740618629074</v>
      </c>
      <c r="J228" t="s">
        <v>89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/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</row>
    <row r="229" spans="1:23" ht="15">
      <c r="A229" t="s">
        <v>90</v>
      </c>
      <c r="B229">
        <f>(B219*B219)</f>
        <v>0.4258567266052537</v>
      </c>
      <c r="C229">
        <f>(C219*C219)</f>
        <v>0.20346211333964045</v>
      </c>
      <c r="E229">
        <f>(E219*E219)</f>
        <v>1.6530117288893942</v>
      </c>
      <c r="F229">
        <f>(F219*F219)</f>
        <v>1.1175519157359528</v>
      </c>
      <c r="G229">
        <f>(G219*G219)</f>
        <v>1.1175519157359528</v>
      </c>
      <c r="H229">
        <f>(H219*H219)</f>
        <v>1.1175519157359528</v>
      </c>
      <c r="J229" t="s">
        <v>90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/>
      <c r="R229" s="27">
        <v>0</v>
      </c>
      <c r="S229" s="27">
        <v>0.025807977</v>
      </c>
      <c r="T229" s="27">
        <v>0</v>
      </c>
      <c r="U229" s="27">
        <v>0</v>
      </c>
      <c r="V229" s="27">
        <v>0</v>
      </c>
      <c r="W229" s="27">
        <v>0</v>
      </c>
    </row>
    <row r="230" spans="1:23" ht="15">
      <c r="A230" t="s">
        <v>91</v>
      </c>
      <c r="B230">
        <f>(B219*B220)</f>
        <v>0.40228885627639016</v>
      </c>
      <c r="C230">
        <f>(C219*C220)</f>
        <v>0.22307275859241787</v>
      </c>
      <c r="E230">
        <f>(E219*E220)</f>
        <v>0.14209720601690629</v>
      </c>
      <c r="F230">
        <f>(F219*F220)</f>
        <v>-0.07501260484722759</v>
      </c>
      <c r="G230">
        <f>(G219*G220)</f>
        <v>-0.07501260484722759</v>
      </c>
      <c r="H230">
        <f>(H219*H220)</f>
        <v>-0.07501260484722759</v>
      </c>
      <c r="J230" t="s">
        <v>91</v>
      </c>
      <c r="K230" s="27">
        <v>0.00857682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/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</row>
    <row r="231" spans="1:23" ht="15">
      <c r="A231" t="s">
        <v>92</v>
      </c>
      <c r="B231">
        <f>(B219*B223)</f>
        <v>-0.5679133590115666</v>
      </c>
      <c r="C231">
        <f>(C219*C223)</f>
        <v>-0.2523290612299356</v>
      </c>
      <c r="E231">
        <f>(E219*E223)</f>
        <v>0.9388633963579829</v>
      </c>
      <c r="F231">
        <f>(F219*F223)</f>
        <v>-0.18420064521310375</v>
      </c>
      <c r="G231">
        <f>(G219*G223)</f>
        <v>1.0218453209635132</v>
      </c>
      <c r="H231">
        <f>(H219*H223)</f>
        <v>1.0218453209635132</v>
      </c>
      <c r="J231" t="s">
        <v>92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/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</row>
    <row r="232" spans="1:23" ht="15">
      <c r="A232" t="s">
        <v>93</v>
      </c>
      <c r="B232">
        <f>(B220*B220)</f>
        <v>0.3800252849690917</v>
      </c>
      <c r="C232">
        <f>(C220*C220)</f>
        <v>0.24457357101645785</v>
      </c>
      <c r="E232">
        <f>(E220*E220)</f>
        <v>0.012215046998715012</v>
      </c>
      <c r="F232">
        <f>(F220*F220)</f>
        <v>0.0050350152030841245</v>
      </c>
      <c r="G232">
        <f>(G220*G220)</f>
        <v>0.0050350152030841245</v>
      </c>
      <c r="H232">
        <f>(H220*H220)</f>
        <v>0.0050350152030841245</v>
      </c>
      <c r="J232" t="s">
        <v>93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/>
      <c r="R232" s="27">
        <v>0</v>
      </c>
      <c r="S232" s="27">
        <v>0.018209586</v>
      </c>
      <c r="T232" s="27">
        <v>0</v>
      </c>
      <c r="U232" s="27">
        <v>0</v>
      </c>
      <c r="V232" s="27">
        <v>0</v>
      </c>
      <c r="W232" s="27">
        <v>0</v>
      </c>
    </row>
    <row r="233" spans="1:23" ht="15">
      <c r="A233" t="s">
        <v>94</v>
      </c>
      <c r="B233">
        <f>(B220*B223)</f>
        <v>-0.5364837547173961</v>
      </c>
      <c r="C233">
        <f>(C220*C223)</f>
        <v>-0.2766497351162151</v>
      </c>
      <c r="E233">
        <f>(E220*E223)</f>
        <v>0.08070714993876447</v>
      </c>
      <c r="F233">
        <f>(F220*F223)</f>
        <v>0.012363962709397372</v>
      </c>
      <c r="G233">
        <f>(G220*G223)</f>
        <v>-0.06858856237201877</v>
      </c>
      <c r="H233">
        <f>(H220*H223)</f>
        <v>-0.06858856237201877</v>
      </c>
      <c r="J233" t="s">
        <v>94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/>
      <c r="R233" s="27">
        <v>0</v>
      </c>
      <c r="S233" s="27">
        <v>0.015107193</v>
      </c>
      <c r="T233" s="27">
        <v>0</v>
      </c>
      <c r="U233" s="27">
        <v>0</v>
      </c>
      <c r="V233" s="27">
        <v>0</v>
      </c>
      <c r="W233" s="27">
        <v>0</v>
      </c>
    </row>
    <row r="234" spans="1:23" ht="15">
      <c r="A234" t="s">
        <v>95</v>
      </c>
      <c r="B234">
        <f>(B220*B224)</f>
        <v>0.7734424283006203</v>
      </c>
      <c r="C234">
        <f>(C220*C224)</f>
        <v>0.5185931599884871</v>
      </c>
      <c r="E234">
        <f>(E220*E224)</f>
        <v>0.15477253848017003</v>
      </c>
      <c r="F234">
        <f>(F220*F224)</f>
        <v>-0.08422380055403071</v>
      </c>
      <c r="G234">
        <f>(G220*G224)</f>
        <v>-0.08422380055403071</v>
      </c>
      <c r="H234">
        <f>(H220*H224)</f>
        <v>-0.08422380055403071</v>
      </c>
      <c r="J234" t="s">
        <v>95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/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</row>
    <row r="235" spans="1:23" ht="15">
      <c r="A235" t="s">
        <v>96</v>
      </c>
      <c r="B235">
        <f>(B220*B221)</f>
        <v>0.5824253925553001</v>
      </c>
      <c r="C235">
        <f>(C220*C221)</f>
        <v>0.41615273777293504</v>
      </c>
      <c r="E235">
        <f>(E220*E221)</f>
        <v>0.09510444819897843</v>
      </c>
      <c r="F235">
        <f>(F220*F221)</f>
        <v>-0.05247758684504641</v>
      </c>
      <c r="G235">
        <f>(G220*G221)</f>
        <v>-0.05247758684504641</v>
      </c>
      <c r="H235">
        <f>(H220*H221)</f>
        <v>-0.05247758684504641</v>
      </c>
      <c r="J235" t="s">
        <v>96</v>
      </c>
      <c r="K235" s="27">
        <v>-0.0097818</v>
      </c>
      <c r="L235" s="27">
        <v>0.018225949</v>
      </c>
      <c r="M235" s="27">
        <v>0</v>
      </c>
      <c r="N235" s="27">
        <v>0</v>
      </c>
      <c r="O235" s="27">
        <v>0</v>
      </c>
      <c r="P235" s="27">
        <v>0</v>
      </c>
      <c r="Q235" s="27"/>
      <c r="R235" s="27">
        <v>0</v>
      </c>
      <c r="S235" s="27">
        <v>0.012076013</v>
      </c>
      <c r="T235" s="27">
        <v>0</v>
      </c>
      <c r="U235" s="27">
        <v>0</v>
      </c>
      <c r="V235" s="27">
        <v>0</v>
      </c>
      <c r="W235" s="27">
        <v>0</v>
      </c>
    </row>
    <row r="236" spans="1:23" ht="15">
      <c r="A236" t="s">
        <v>97</v>
      </c>
      <c r="B236">
        <f>(B221*B221)</f>
        <v>0.89262307354308</v>
      </c>
      <c r="C236">
        <f>(C221*C221)</f>
        <v>0.7081022713785186</v>
      </c>
      <c r="E236">
        <f>(E221*E221)</f>
        <v>0.7404683803659261</v>
      </c>
      <c r="F236">
        <f>(F221*F221)</f>
        <v>0.5469491173318659</v>
      </c>
      <c r="G236">
        <f>(G221*G221)</f>
        <v>0.5469491173318659</v>
      </c>
      <c r="H236">
        <f>(H221*H221)</f>
        <v>0.5469491173318659</v>
      </c>
      <c r="J236" t="s">
        <v>97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/>
      <c r="R236" s="27">
        <v>0</v>
      </c>
      <c r="S236" s="27">
        <v>-0.01197286</v>
      </c>
      <c r="T236" s="27">
        <v>0</v>
      </c>
      <c r="U236" s="27">
        <v>0</v>
      </c>
      <c r="V236" s="27">
        <v>0</v>
      </c>
      <c r="W236" s="27">
        <v>0</v>
      </c>
    </row>
    <row r="237" spans="1:23" ht="15">
      <c r="A237" t="s">
        <v>98</v>
      </c>
      <c r="B237">
        <f>(B221*B222)</f>
        <v>0.6991637948011711</v>
      </c>
      <c r="C237">
        <f>(C221*C222)</f>
        <v>0.5064061718081412</v>
      </c>
      <c r="E237">
        <f>(E221*E222)</f>
        <v>0.4023934101665737</v>
      </c>
      <c r="F237">
        <f>(F221*F222)</f>
        <v>0.2078376090755193</v>
      </c>
      <c r="G237">
        <f>(G221*G222)</f>
        <v>0.2078376090755193</v>
      </c>
      <c r="H237">
        <f>(H221*H222)</f>
        <v>0.2078376090755193</v>
      </c>
      <c r="J237" t="s">
        <v>98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/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</row>
    <row r="238" spans="1:23" ht="15">
      <c r="A238" t="s">
        <v>99</v>
      </c>
      <c r="B238">
        <f>(B221*B223)</f>
        <v>-0.8222130837063485</v>
      </c>
      <c r="C238">
        <f>(C221*C223)</f>
        <v>-0.47073174830089454</v>
      </c>
      <c r="E238">
        <f>(E221*E223)</f>
        <v>0.6283732646665923</v>
      </c>
      <c r="F238">
        <f>(F221*F223)</f>
        <v>-0.12886374730981626</v>
      </c>
      <c r="G238">
        <f>(G221*G223)</f>
        <v>0.7148662105825937</v>
      </c>
      <c r="H238">
        <f>(H221*H223)</f>
        <v>0.7148662105825937</v>
      </c>
      <c r="J238" t="s">
        <v>99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/>
      <c r="R238" s="27">
        <v>-0.00579379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</row>
    <row r="239" spans="1:23" ht="15">
      <c r="A239" t="s">
        <v>100</v>
      </c>
      <c r="B239">
        <f>(B221*B224)</f>
        <v>1.1853750993399066</v>
      </c>
      <c r="C239">
        <f>(C221*C224)</f>
        <v>0.8824091761942832</v>
      </c>
      <c r="E239">
        <f>(E221*E224)</f>
        <v>1.2050348123965615</v>
      </c>
      <c r="F239">
        <f>(F221*F224)</f>
        <v>0.8778249180432848</v>
      </c>
      <c r="G239">
        <f>(G221*G224)</f>
        <v>0.8778249180432848</v>
      </c>
      <c r="H239">
        <f>(H221*H224)</f>
        <v>0.8778249180432848</v>
      </c>
      <c r="J239" t="s">
        <v>100</v>
      </c>
      <c r="K239" s="27">
        <v>0</v>
      </c>
      <c r="L239" s="27">
        <v>-0.04053717</v>
      </c>
      <c r="M239" s="27">
        <v>0</v>
      </c>
      <c r="N239" s="27">
        <v>0</v>
      </c>
      <c r="O239" s="27">
        <v>0</v>
      </c>
      <c r="P239" s="27">
        <v>0</v>
      </c>
      <c r="Q239" s="27"/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</row>
    <row r="240" spans="1:23" ht="15">
      <c r="A240" t="s">
        <v>101</v>
      </c>
      <c r="B240">
        <f>(B222*B220)</f>
        <v>0.4561956325318679</v>
      </c>
      <c r="C240">
        <f>(C222*C220)</f>
        <v>0.2976156458484458</v>
      </c>
      <c r="E240">
        <f>(E222*E220)</f>
        <v>0.0516826973947019</v>
      </c>
      <c r="F240">
        <f>(F222*F220)</f>
        <v>-0.019941189837060416</v>
      </c>
      <c r="G240">
        <f>(G222*G220)</f>
        <v>-0.019941189837060416</v>
      </c>
      <c r="H240">
        <f>(H222*H220)</f>
        <v>-0.019941189837060416</v>
      </c>
      <c r="J240" t="s">
        <v>101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/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</row>
    <row r="241" spans="1:23" ht="15">
      <c r="A241" t="s">
        <v>102</v>
      </c>
      <c r="B241">
        <f>(B223*B223)</f>
        <v>0.7573570245439952</v>
      </c>
      <c r="C241">
        <f>(C223*C223)</f>
        <v>0.31293273276335226</v>
      </c>
      <c r="E241">
        <f aca="true" t="shared" si="15" ref="E241:H242">(E223*E223)</f>
        <v>0.5332475635929544</v>
      </c>
      <c r="F241">
        <f t="shared" si="15"/>
        <v>0.03036089618671499</v>
      </c>
      <c r="G241">
        <f t="shared" si="15"/>
        <v>0.93433499175508</v>
      </c>
      <c r="H241">
        <f t="shared" si="15"/>
        <v>0.93433499175508</v>
      </c>
      <c r="J241" t="s">
        <v>102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/>
      <c r="R241" s="27">
        <v>0.013486985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</row>
    <row r="242" spans="1:23" ht="15">
      <c r="A242" t="s">
        <v>103</v>
      </c>
      <c r="B242">
        <f>(B224*B224)</f>
        <v>1.5741404942153103</v>
      </c>
      <c r="C242">
        <f>(C224*C224)</f>
        <v>1.0996235793962672</v>
      </c>
      <c r="E242">
        <f t="shared" si="15"/>
        <v>1.9610680720357168</v>
      </c>
      <c r="F242">
        <f t="shared" si="15"/>
        <v>1.4088633884203636</v>
      </c>
      <c r="G242">
        <f t="shared" si="15"/>
        <v>1.4088633884203636</v>
      </c>
      <c r="H242">
        <f t="shared" si="15"/>
        <v>1.4088633884203636</v>
      </c>
      <c r="J242" t="s">
        <v>103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/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</row>
    <row r="246" ht="15">
      <c r="H246" t="s">
        <v>104</v>
      </c>
    </row>
    <row r="247" ht="15">
      <c r="I247" t="s">
        <v>105</v>
      </c>
    </row>
    <row r="248" spans="9:22" ht="15">
      <c r="I248" t="s">
        <v>64</v>
      </c>
      <c r="J248" t="s">
        <v>64</v>
      </c>
      <c r="K248" t="s">
        <v>64</v>
      </c>
      <c r="L248" t="s">
        <v>64</v>
      </c>
      <c r="M248" t="s">
        <v>64</v>
      </c>
      <c r="N248" t="s">
        <v>64</v>
      </c>
      <c r="O248" t="s">
        <v>64</v>
      </c>
      <c r="P248" t="s">
        <v>65</v>
      </c>
      <c r="Q248" t="s">
        <v>65</v>
      </c>
      <c r="R248" t="s">
        <v>65</v>
      </c>
      <c r="S248" t="s">
        <v>65</v>
      </c>
      <c r="T248" t="s">
        <v>65</v>
      </c>
      <c r="U248" t="s">
        <v>65</v>
      </c>
      <c r="V248" t="s">
        <v>65</v>
      </c>
    </row>
    <row r="249" spans="9:22" ht="15">
      <c r="I249" t="s">
        <v>69</v>
      </c>
      <c r="J249" t="s">
        <v>69</v>
      </c>
      <c r="K249" t="s">
        <v>68</v>
      </c>
      <c r="L249" t="s">
        <v>68</v>
      </c>
      <c r="M249" t="s">
        <v>68</v>
      </c>
      <c r="N249" t="s">
        <v>68</v>
      </c>
      <c r="O249" t="s">
        <v>68</v>
      </c>
      <c r="P249" t="s">
        <v>69</v>
      </c>
      <c r="Q249" t="s">
        <v>69</v>
      </c>
      <c r="R249" t="s">
        <v>68</v>
      </c>
      <c r="S249" t="s">
        <v>68</v>
      </c>
      <c r="T249" t="s">
        <v>68</v>
      </c>
      <c r="U249" t="s">
        <v>68</v>
      </c>
      <c r="V249" t="s">
        <v>68</v>
      </c>
    </row>
    <row r="250" spans="9:22" ht="15">
      <c r="I250" t="s">
        <v>40</v>
      </c>
      <c r="J250" t="s">
        <v>41</v>
      </c>
      <c r="K250" t="s">
        <v>33</v>
      </c>
      <c r="L250" t="s">
        <v>72</v>
      </c>
      <c r="M250" t="s">
        <v>74</v>
      </c>
      <c r="N250" t="s">
        <v>75</v>
      </c>
      <c r="O250" t="s">
        <v>106</v>
      </c>
      <c r="P250" t="s">
        <v>40</v>
      </c>
      <c r="Q250" t="s">
        <v>41</v>
      </c>
      <c r="R250" t="s">
        <v>33</v>
      </c>
      <c r="S250" t="s">
        <v>72</v>
      </c>
      <c r="T250" t="s">
        <v>74</v>
      </c>
      <c r="U250" t="s">
        <v>75</v>
      </c>
      <c r="V250" t="s">
        <v>107</v>
      </c>
    </row>
    <row r="251" spans="7:21" ht="15">
      <c r="G251" t="s">
        <v>108</v>
      </c>
      <c r="I251">
        <f aca="true" t="shared" si="16" ref="I251:N251">(K217+$B219*K219+$B220*K220+$B221*K221+$B222*K222+$B223*K223+$B224*K224+$B225*K225+$B226*K226+$B227*K227+$B228*K228+$B229*K229+$B230*K230+$B231*K231+$B232*K232+$B233*K233+$B234*K234+$B235*K235+$B236*K236+$B237*K237+$B238*K238+$B239*K239+$B240*K240+$B241*K241+$B242*K242)</f>
        <v>-0.18331641673803456</v>
      </c>
      <c r="J251">
        <f t="shared" si="16"/>
        <v>-0.8669684955891704</v>
      </c>
      <c r="K251">
        <f t="shared" si="16"/>
        <v>2.571427465962971</v>
      </c>
      <c r="L251">
        <f t="shared" si="16"/>
        <v>0.4548872353016288</v>
      </c>
      <c r="M251">
        <f t="shared" si="16"/>
        <v>2.493449553485912</v>
      </c>
      <c r="N251">
        <f t="shared" si="16"/>
        <v>1.137772055245659</v>
      </c>
      <c r="P251">
        <f aca="true" t="shared" si="17" ref="P251:U251">(R217+$C219*R219+$C220*R220+$C221*R221+$C222*R222+$C223*R223+$C224*R224+$C225*R225+$C226*R226+$C227*R227+$C228*R228+$C229*R229+$C230*R230+$C231*R231+$C232*R232+$C233*R233+$C234*R234+$C235*R235+$C236*R236+$C237*R237+$C238*R238+$C239*R239+$C240*R240+$C241*R241+$C242*R242)</f>
        <v>-0.74917644740567</v>
      </c>
      <c r="Q251">
        <f t="shared" si="17"/>
        <v>-1.332610346946166</v>
      </c>
      <c r="R251">
        <f t="shared" si="17"/>
        <v>1.625352424324887</v>
      </c>
      <c r="S251">
        <f t="shared" si="17"/>
        <v>-0.3018143158141898</v>
      </c>
      <c r="T251">
        <f t="shared" si="17"/>
        <v>0.6775114968647192</v>
      </c>
      <c r="U251">
        <f t="shared" si="17"/>
        <v>-0.47549605516466</v>
      </c>
    </row>
    <row r="252" spans="7:22" ht="15">
      <c r="G252" t="s">
        <v>109</v>
      </c>
      <c r="I252">
        <f aca="true" t="shared" si="18" ref="I252:N252">EXP(I251)</f>
        <v>0.8325046956375044</v>
      </c>
      <c r="J252">
        <f t="shared" si="18"/>
        <v>0.4202235297502322</v>
      </c>
      <c r="K252">
        <f t="shared" si="18"/>
        <v>13.08448877878635</v>
      </c>
      <c r="L252">
        <f t="shared" si="18"/>
        <v>1.5759956563387094</v>
      </c>
      <c r="M252">
        <f t="shared" si="18"/>
        <v>12.102953981206962</v>
      </c>
      <c r="N252">
        <f t="shared" si="18"/>
        <v>3.119809852478195</v>
      </c>
      <c r="O252">
        <f>($T$192*K252+$T$193*L252+$T$194*M252+$T$195*N252)</f>
        <v>4.273879095714284</v>
      </c>
      <c r="P252">
        <f aca="true" t="shared" si="19" ref="P252:U252">EXP(P251)</f>
        <v>0.47275573167366275</v>
      </c>
      <c r="Q252">
        <f t="shared" si="19"/>
        <v>0.2637877841672263</v>
      </c>
      <c r="R252">
        <f t="shared" si="19"/>
        <v>5.0802091109950025</v>
      </c>
      <c r="S252">
        <f t="shared" si="19"/>
        <v>0.7394753610226152</v>
      </c>
      <c r="T252">
        <f t="shared" si="19"/>
        <v>1.96897183800342</v>
      </c>
      <c r="U252">
        <f t="shared" si="19"/>
        <v>0.6215766436721394</v>
      </c>
      <c r="V252">
        <f>($T$192*R252+$T$193*S252+$T$194*T252+$T$195*U252)</f>
        <v>1.6819701505206397</v>
      </c>
    </row>
    <row r="253" spans="1:3" ht="15">
      <c r="A253" t="s">
        <v>65</v>
      </c>
      <c r="C253" t="s">
        <v>110</v>
      </c>
    </row>
    <row r="254" spans="1:9" ht="15">
      <c r="A254" t="s">
        <v>63</v>
      </c>
      <c r="C254" t="s">
        <v>111</v>
      </c>
      <c r="I254" t="s">
        <v>112</v>
      </c>
    </row>
    <row r="255" spans="1:22" ht="15">
      <c r="A255">
        <f>(C191)</f>
        <v>7</v>
      </c>
      <c r="I255" t="s">
        <v>64</v>
      </c>
      <c r="J255" t="s">
        <v>64</v>
      </c>
      <c r="K255" t="s">
        <v>64</v>
      </c>
      <c r="L255" t="s">
        <v>64</v>
      </c>
      <c r="M255" t="s">
        <v>64</v>
      </c>
      <c r="N255" t="s">
        <v>64</v>
      </c>
      <c r="O255" t="s">
        <v>64</v>
      </c>
      <c r="P255" t="s">
        <v>65</v>
      </c>
      <c r="Q255" t="s">
        <v>65</v>
      </c>
      <c r="R255" t="s">
        <v>65</v>
      </c>
      <c r="S255" t="s">
        <v>65</v>
      </c>
      <c r="T255" t="s">
        <v>65</v>
      </c>
      <c r="U255" t="s">
        <v>65</v>
      </c>
      <c r="V255" t="s">
        <v>65</v>
      </c>
    </row>
    <row r="256" spans="1:22" ht="15">
      <c r="A256">
        <f>IF(C192&lt;181.3,181.3,C192)</f>
        <v>189</v>
      </c>
      <c r="I256" t="s">
        <v>69</v>
      </c>
      <c r="J256" t="s">
        <v>69</v>
      </c>
      <c r="K256" t="s">
        <v>68</v>
      </c>
      <c r="L256" t="s">
        <v>68</v>
      </c>
      <c r="M256" t="s">
        <v>68</v>
      </c>
      <c r="N256" t="s">
        <v>68</v>
      </c>
      <c r="O256" t="s">
        <v>68</v>
      </c>
      <c r="P256" t="s">
        <v>69</v>
      </c>
      <c r="Q256" t="s">
        <v>69</v>
      </c>
      <c r="R256" t="s">
        <v>68</v>
      </c>
      <c r="S256" t="s">
        <v>68</v>
      </c>
      <c r="T256" t="s">
        <v>68</v>
      </c>
      <c r="U256" t="s">
        <v>68</v>
      </c>
      <c r="V256" t="s">
        <v>68</v>
      </c>
    </row>
    <row r="257" spans="1:22" ht="15">
      <c r="A257" s="10">
        <f>IF(C193&lt;C257,C257,C193)</f>
        <v>313</v>
      </c>
      <c r="C257" s="10">
        <f>323.8-0.9712*B24-7.27598*C27</f>
        <v>301.65664000000004</v>
      </c>
      <c r="I257" t="s">
        <v>40</v>
      </c>
      <c r="J257" t="s">
        <v>41</v>
      </c>
      <c r="K257" t="s">
        <v>33</v>
      </c>
      <c r="L257" t="s">
        <v>72</v>
      </c>
      <c r="M257" t="s">
        <v>74</v>
      </c>
      <c r="N257" t="s">
        <v>75</v>
      </c>
      <c r="O257" t="s">
        <v>107</v>
      </c>
      <c r="P257" t="s">
        <v>40</v>
      </c>
      <c r="Q257" t="s">
        <v>41</v>
      </c>
      <c r="R257" t="s">
        <v>33</v>
      </c>
      <c r="S257" t="s">
        <v>72</v>
      </c>
      <c r="T257" t="s">
        <v>74</v>
      </c>
      <c r="U257" t="s">
        <v>75</v>
      </c>
      <c r="V257" t="s">
        <v>107</v>
      </c>
    </row>
    <row r="258" spans="1:21" ht="15">
      <c r="A258">
        <f>(C194)</f>
        <v>22.8</v>
      </c>
      <c r="G258" t="s">
        <v>108</v>
      </c>
      <c r="I258">
        <f aca="true" t="shared" si="20" ref="I258:N258">(K217+$E219*K219+$E220*K220+$E221*K221+$E222*K222+$E223*K223+$E224*K224+$E225*K225+$E226*K226+$E227*K227+$E228*K228+$E229*K229+$E230*K230+$E231*K231+$E232*K232+$E233*K233+$E234*K234+$E235*K235+$E236*K236+$E237*K237+$E238*K238+$E239*K239+$E240*K240+$E241*K241+$E242*K242)</f>
        <v>-0.18652187691510877</v>
      </c>
      <c r="J258">
        <f t="shared" si="20"/>
        <v>-0.8688647451569164</v>
      </c>
      <c r="K258">
        <f t="shared" si="20"/>
        <v>2.5932512533123955</v>
      </c>
      <c r="L258">
        <f t="shared" si="20"/>
        <v>0.5795238100615514</v>
      </c>
      <c r="M258">
        <f t="shared" si="20"/>
        <v>2.266134409088141</v>
      </c>
      <c r="N258">
        <f t="shared" si="20"/>
        <v>1.1291550030019353</v>
      </c>
      <c r="P258">
        <f>(R217+$F219*R219+$F220*R220+$F221*R221+$F222*R222+$F223*R223+$F224*R224+$F225*R225+$F226*R226+$F227*R227+$F228*R228+$F229*R229+$F230*R230+$F231*R231+$F232*R232+$F233*R233+$F234*R234+$F235*R235+$F236*R236+$F237*R237+$F238*R238+$F239*R239+$F240*R240+$F241*R241+$F242*R242)</f>
        <v>-0.7555083744698433</v>
      </c>
      <c r="Q258">
        <f>S217+$G219*S219+$G220*S220+$G221*S221+$G222*S222+$G223*S223+$G224*S224+$G225*S225+$G226*S226+$G227*S227+$G228*S228+$G229*S229+$G230*S230+$G231*S231+$G232*S232+$G233*S233+$G234*S234+$G235*S235+$G236*S236+$G237*S237+$G238*S238+$G239*S239+$G240*S240+$G241*S241+$G242*S242</f>
        <v>-1.3407113421600396</v>
      </c>
      <c r="R258">
        <f>T217+$H219*T219+$H220*T220+$H221*T221+$H222*T222+$H223*T223+$H224*T224+$H225*T225+$H226*T226+$H227*T227+$H228*T228+$H229*T229+$H230*T230+$H231*T231+$H232*T232+$H233*T233+$H234*T234+$H235*T235+$H236*T236+$H237*T237+$H238*T238+$H239*T239+$H240*T240+$H241*T241+$H242*T242</f>
        <v>1.5306353344737136</v>
      </c>
      <c r="S258">
        <f>U217+$H219*U219+$H220*U220+$H221*U221+$H222*U222+$H223*U223+$H224*U224+$H225*U225+$H226*U226+$H227*U227+$H228*U228+$H229*U229+$H230*U230+$H231*U231+$H232*U232+$H233*U233+$H234*U234+$H235*U235+$H236*U236+$H237*U237+$H238*U238+$H239*U239+$H240*U240+$H241*U241+$H242*U242</f>
        <v>-0.2562032126590104</v>
      </c>
      <c r="T258">
        <f>V217+$H219*V219+$H220*V220+$H221*V221+$H222*V222+$H223*V223+$H224*V224+$H225*V225+$H226*V226+$H227*V227+$H228*V228+$H229*V229+$H230*V230+$H231*V231+$H232*V232+$H233*V233+$H234*V234+$H235*V235+$H236*V236+$H237*V237+$H238*V238+$H239*V239+$H240*V240+$H241*V241+$H242*V242</f>
        <v>0.6106217506030219</v>
      </c>
      <c r="U258">
        <f>W217+$H219*W219+$H220*W220+$H221*W221+$H222*W222+$H223*W223+$H224*W224+$H225*W225+$H226*W226+$H227*W227+$H228*W228+$H229*W229+$H230*W230+$H231*W231+$H232*W232+$H233*W233+$H234*W234+$H235*W235+$H236*W236+$H237*W237+$H238*W238+$H239*W239+$H240*W240+$H241*W241+$H242*W242</f>
        <v>-0.6208412494357686</v>
      </c>
    </row>
    <row r="259" spans="1:22" ht="15">
      <c r="A259">
        <f>(C195)</f>
        <v>5.6</v>
      </c>
      <c r="G259" t="s">
        <v>109</v>
      </c>
      <c r="I259">
        <f aca="true" t="shared" si="21" ref="I259:N259">EXP(I258)</f>
        <v>0.8298404074046173</v>
      </c>
      <c r="J259">
        <f t="shared" si="21"/>
        <v>0.41942743609825534</v>
      </c>
      <c r="K259">
        <f t="shared" si="21"/>
        <v>13.373180595851293</v>
      </c>
      <c r="L259">
        <f t="shared" si="21"/>
        <v>1.7851881396857598</v>
      </c>
      <c r="M259">
        <f t="shared" si="21"/>
        <v>9.642056435800779</v>
      </c>
      <c r="N259">
        <f t="shared" si="21"/>
        <v>3.0930417845440545</v>
      </c>
      <c r="O259">
        <f>($T$192*K259+$T$193*L259+$T$194*M259+$T$195*N259)</f>
        <v>4.445589484786212</v>
      </c>
      <c r="P259">
        <f aca="true" t="shared" si="22" ref="P259:U259">EXP(P258)</f>
        <v>0.46977173405901573</v>
      </c>
      <c r="Q259">
        <f t="shared" si="22"/>
        <v>0.2616594729490937</v>
      </c>
      <c r="R259">
        <f t="shared" si="22"/>
        <v>4.621111841501406</v>
      </c>
      <c r="S259">
        <f t="shared" si="22"/>
        <v>0.7739846693274811</v>
      </c>
      <c r="T259">
        <f t="shared" si="22"/>
        <v>1.8415760439186784</v>
      </c>
      <c r="U259">
        <f t="shared" si="22"/>
        <v>0.5374920824385108</v>
      </c>
      <c r="V259">
        <f>($T$192*R259+$T$193*S259+$T$194*T259+$T$195*U259)</f>
        <v>1.6326287172388902</v>
      </c>
    </row>
    <row r="260" spans="1:3" ht="15">
      <c r="A260" s="11">
        <f>IF(C196&lt;C260,C260,C196)</f>
        <v>1.4952075999999996</v>
      </c>
      <c r="C260" s="11">
        <f>4.724+0.035867*B24-0.57808*7</f>
        <v>1.4952075999999996</v>
      </c>
    </row>
    <row r="261" spans="1:8" ht="15">
      <c r="A261">
        <f>(C197)</f>
        <v>11</v>
      </c>
      <c r="H261" t="s">
        <v>113</v>
      </c>
    </row>
    <row r="262" ht="15">
      <c r="A262">
        <f>(C198)</f>
        <v>0.67</v>
      </c>
    </row>
    <row r="263" spans="8:12" ht="15">
      <c r="H263" t="s">
        <v>37</v>
      </c>
      <c r="J263" t="s">
        <v>64</v>
      </c>
      <c r="K263" t="s">
        <v>65</v>
      </c>
      <c r="L263" t="s">
        <v>38</v>
      </c>
    </row>
    <row r="264" spans="8:12" ht="15">
      <c r="H264" t="s">
        <v>114</v>
      </c>
      <c r="J264">
        <f>((I259-I252)/I252)*100</f>
        <v>-0.32003281745418743</v>
      </c>
      <c r="K264">
        <f>((P259-P252)/P252)*100</f>
        <v>-0.6311922658415977</v>
      </c>
      <c r="L264">
        <f>(O192*J264+P192*K264)</f>
        <v>-0.5770505218221883</v>
      </c>
    </row>
    <row r="265" spans="8:12" ht="15">
      <c r="H265" t="s">
        <v>115</v>
      </c>
      <c r="J265">
        <f>((J259-J252)/J252)*100</f>
        <v>-0.18944528224062857</v>
      </c>
      <c r="K265">
        <f>((Q259-Q252)/Q252)*100</f>
        <v>-0.8068270579138682</v>
      </c>
      <c r="L265">
        <f>(O193*J265+P193*K265)</f>
        <v>-0.6845854663305667</v>
      </c>
    </row>
    <row r="266" spans="8:12" ht="15">
      <c r="H266" t="s">
        <v>30</v>
      </c>
      <c r="J266">
        <f>((K259-K252)/K252)*100</f>
        <v>2.206366805350429</v>
      </c>
      <c r="K266">
        <f>((R259-R252)/R252)*100</f>
        <v>-9.036975830384234</v>
      </c>
      <c r="L266">
        <f>((((O$100*K259+P$100*R259)/(O$100*K252+P$100*R252))-1)*100)</f>
        <v>-6.776658466991192</v>
      </c>
    </row>
    <row r="267" spans="8:12" ht="15">
      <c r="H267" t="s">
        <v>72</v>
      </c>
      <c r="J267">
        <f>((L259-L252)/L252)*100</f>
        <v>13.273671314109968</v>
      </c>
      <c r="K267">
        <f>((S259-S252)/S252)*100</f>
        <v>4.666728619212302</v>
      </c>
      <c r="L267">
        <f>((((O$100*L259+P$100*S259)/(O$100*L252+P$100*S252))-1)*100)</f>
        <v>6.149960972396373</v>
      </c>
    </row>
    <row r="268" spans="8:14" ht="15">
      <c r="H268" t="s">
        <v>74</v>
      </c>
      <c r="J268">
        <f>((M259-M252)/M252)*100</f>
        <v>-20.33303232605344</v>
      </c>
      <c r="K268">
        <f>((T259-T252)/T252)*100</f>
        <v>-6.470168421196097</v>
      </c>
      <c r="L268">
        <f>((((O$100*M259+P$100*T259)/(O$100*M252+P$100*T252))-1)*100)</f>
        <v>-11.67152766660985</v>
      </c>
      <c r="N268" t="s">
        <v>116</v>
      </c>
    </row>
    <row r="269" spans="8:16" ht="15">
      <c r="H269" t="s">
        <v>75</v>
      </c>
      <c r="J269">
        <f>((N259-N252)/N252)*100</f>
        <v>-0.8580031860876927</v>
      </c>
      <c r="K269">
        <f>((U259-U252)/U252)*100</f>
        <v>-13.527625609751897</v>
      </c>
      <c r="L269">
        <f>((((O$100*N259+P$100*U259)/(O$100*N252+P$100*U252))-1)*100)</f>
        <v>-9.3591157401545</v>
      </c>
      <c r="N269" t="s">
        <v>62</v>
      </c>
      <c r="O269" t="s">
        <v>63</v>
      </c>
      <c r="P269" t="s">
        <v>117</v>
      </c>
    </row>
    <row r="270" spans="8:16" ht="15">
      <c r="H270" t="s">
        <v>118</v>
      </c>
      <c r="J270">
        <f>((O259-O252)/O252)*100</f>
        <v>4.017670720823957</v>
      </c>
      <c r="K270">
        <f>((V259-V252)/V252)*100</f>
        <v>-2.9335498769984847</v>
      </c>
      <c r="L270">
        <f>((((O100*O259+P100*V259)/(O100*O252+P100*V252))-1)*100)</f>
        <v>-1.5511369235760575</v>
      </c>
      <c r="N270">
        <f>((K252*O$100+R252*P$100)*T$98)+((L252*O$100+S252*P$100)*T$99)+((M252*O$100+T252*P$100)*T$100)+((N252*O$100+U252*P$100)*T$101)</f>
        <v>1.912650046642874</v>
      </c>
      <c r="O270">
        <f>((K259*O$100+R259*P$100)*T$98)+((L259*O$100+S259*P$100)*T$99)+((M259*O$100+T259*P$100)*T$100)+((N259*O$100+U259*P$100)*T$101)</f>
        <v>1.8829822255506021</v>
      </c>
      <c r="P270">
        <f>((O270-N270)/N270)*100</f>
        <v>-1.5511369235760333</v>
      </c>
    </row>
    <row r="272" ht="15">
      <c r="N272" t="s">
        <v>119</v>
      </c>
    </row>
    <row r="273" ht="15">
      <c r="N273" t="s">
        <v>120</v>
      </c>
    </row>
  </sheetData>
  <sheetProtection password="8BA1" sheet="1" objects="1" scenarios="1"/>
  <printOptions/>
  <pageMargins left="0.75" right="0.75" top="1" bottom="1" header="0.5" footer="0.5"/>
  <pageSetup orientation="landscape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D22" sqref="D22:F22"/>
    </sheetView>
  </sheetViews>
  <sheetFormatPr defaultColWidth="8.88671875" defaultRowHeight="15"/>
  <cols>
    <col min="1" max="1" width="14.99609375" style="0" customWidth="1"/>
    <col min="2" max="2" width="7.10546875" style="0" customWidth="1"/>
    <col min="3" max="3" width="11.5546875" style="0" customWidth="1"/>
    <col min="4" max="4" width="17.6640625" style="0" customWidth="1"/>
    <col min="5" max="5" width="4.77734375" style="0" customWidth="1"/>
    <col min="6" max="6" width="13.6640625" style="0" customWidth="1"/>
  </cols>
  <sheetData>
    <row r="1" spans="1:6" ht="18">
      <c r="A1" s="158" t="s">
        <v>150</v>
      </c>
      <c r="B1" s="158"/>
      <c r="C1" s="145"/>
      <c r="D1" s="145"/>
      <c r="E1" s="145"/>
      <c r="F1" s="145"/>
    </row>
    <row r="2" spans="1:6" ht="15">
      <c r="A2" s="159" t="s">
        <v>160</v>
      </c>
      <c r="B2" s="159"/>
      <c r="C2" s="145"/>
      <c r="D2" s="145"/>
      <c r="E2" s="145"/>
      <c r="F2" s="145"/>
    </row>
    <row r="3" spans="1:6" ht="15">
      <c r="A3" s="159" t="s">
        <v>192</v>
      </c>
      <c r="B3" s="159"/>
      <c r="C3" s="145"/>
      <c r="D3" s="145"/>
      <c r="E3" s="145"/>
      <c r="F3" s="145"/>
    </row>
    <row r="4" spans="1:6" ht="15">
      <c r="A4" s="55"/>
      <c r="B4" s="55"/>
      <c r="C4" s="69"/>
      <c r="D4" s="69"/>
      <c r="E4" s="69"/>
      <c r="F4" s="69"/>
    </row>
    <row r="5" spans="1:6" ht="15">
      <c r="A5" s="55"/>
      <c r="B5" s="55"/>
      <c r="C5" s="69"/>
      <c r="D5" s="69"/>
      <c r="E5" s="69"/>
      <c r="F5" s="69"/>
    </row>
    <row r="6" spans="1:6" ht="18">
      <c r="A6" s="157" t="s">
        <v>197</v>
      </c>
      <c r="B6" s="157"/>
      <c r="C6" s="157"/>
      <c r="D6" s="157"/>
      <c r="E6" s="157"/>
      <c r="F6" s="157"/>
    </row>
    <row r="7" spans="1:7" ht="15">
      <c r="A7" s="29"/>
      <c r="B7" s="29"/>
      <c r="C7" s="29"/>
      <c r="D7" s="29"/>
      <c r="E7" s="29"/>
      <c r="F7" s="29"/>
      <c r="G7" s="27"/>
    </row>
    <row r="8" spans="1:6" ht="15.75">
      <c r="A8" s="75" t="s">
        <v>144</v>
      </c>
      <c r="B8" s="51">
        <v>2</v>
      </c>
      <c r="C8" s="69"/>
      <c r="D8" s="49" t="s">
        <v>145</v>
      </c>
      <c r="E8" s="49"/>
      <c r="F8" s="50" t="s">
        <v>191</v>
      </c>
    </row>
    <row r="9" spans="1:6" ht="15">
      <c r="A9" s="151"/>
      <c r="B9" s="151"/>
      <c r="C9" s="31"/>
      <c r="D9" s="29"/>
      <c r="E9" s="29"/>
      <c r="F9" s="29"/>
    </row>
    <row r="10" spans="1:6" ht="15">
      <c r="A10" s="74" t="s">
        <v>122</v>
      </c>
      <c r="B10" s="152"/>
      <c r="C10" s="152"/>
      <c r="D10" s="154" t="s">
        <v>200</v>
      </c>
      <c r="E10" s="155"/>
      <c r="F10" s="101"/>
    </row>
    <row r="11" spans="1:6" ht="15">
      <c r="A11" s="74" t="s">
        <v>136</v>
      </c>
      <c r="B11" s="153"/>
      <c r="C11" s="153"/>
      <c r="D11" s="153"/>
      <c r="E11" s="153"/>
      <c r="F11" s="153"/>
    </row>
    <row r="12" spans="1:6" ht="15">
      <c r="A12" s="32"/>
      <c r="B12" s="32"/>
      <c r="C12" s="52"/>
      <c r="D12" s="70"/>
      <c r="E12" s="33"/>
      <c r="F12" s="32"/>
    </row>
    <row r="13" spans="1:3" ht="15">
      <c r="A13" s="76" t="s">
        <v>146</v>
      </c>
      <c r="B13" s="142" t="s">
        <v>216</v>
      </c>
      <c r="C13" s="143"/>
    </row>
    <row r="14" spans="1:6" ht="15">
      <c r="A14" s="76" t="s">
        <v>195</v>
      </c>
      <c r="B14" s="144">
        <v>37166</v>
      </c>
      <c r="C14" s="145"/>
      <c r="D14" s="156" t="s">
        <v>196</v>
      </c>
      <c r="E14" s="156"/>
      <c r="F14" s="94" t="s">
        <v>202</v>
      </c>
    </row>
    <row r="15" spans="1:6" ht="15">
      <c r="A15" s="76" t="s">
        <v>193</v>
      </c>
      <c r="B15" s="146">
        <v>0.3361111111111111</v>
      </c>
      <c r="C15" s="145"/>
      <c r="D15" s="156" t="s">
        <v>199</v>
      </c>
      <c r="E15" s="156"/>
      <c r="F15" s="94" t="s">
        <v>201</v>
      </c>
    </row>
    <row r="16" spans="4:6" ht="15">
      <c r="D16" s="156" t="s">
        <v>123</v>
      </c>
      <c r="E16" s="156"/>
      <c r="F16" s="95">
        <v>87</v>
      </c>
    </row>
    <row r="17" spans="4:6" ht="15.75" thickBot="1">
      <c r="D17" s="34"/>
      <c r="E17" s="34"/>
      <c r="F17" s="106"/>
    </row>
    <row r="18" spans="4:6" ht="15.75" thickTop="1">
      <c r="D18" s="34"/>
      <c r="E18" s="34"/>
      <c r="F18" s="110" t="s">
        <v>213</v>
      </c>
    </row>
    <row r="19" spans="1:6" ht="15.75" thickBot="1">
      <c r="A19" s="105" t="s">
        <v>212</v>
      </c>
      <c r="B19" s="105"/>
      <c r="C19" s="105"/>
      <c r="D19" s="149"/>
      <c r="E19" s="150"/>
      <c r="F19" s="109" t="s">
        <v>244</v>
      </c>
    </row>
    <row r="20" spans="1:6" ht="15.75" thickTop="1">
      <c r="A20" s="147" t="s">
        <v>124</v>
      </c>
      <c r="B20" s="148"/>
      <c r="C20" s="35" t="s">
        <v>125</v>
      </c>
      <c r="D20" s="147" t="s">
        <v>126</v>
      </c>
      <c r="E20" s="128"/>
      <c r="F20" s="148"/>
    </row>
    <row r="21" spans="1:6" ht="15.75" thickBot="1">
      <c r="A21" s="140" t="s">
        <v>127</v>
      </c>
      <c r="B21" s="141"/>
      <c r="C21" s="36" t="s">
        <v>128</v>
      </c>
      <c r="D21" s="140" t="s">
        <v>189</v>
      </c>
      <c r="E21" s="133"/>
      <c r="F21" s="141"/>
    </row>
    <row r="22" spans="1:6" ht="15.75" thickTop="1">
      <c r="A22" s="138" t="s">
        <v>178</v>
      </c>
      <c r="B22" s="139"/>
      <c r="C22" s="38" t="s">
        <v>137</v>
      </c>
      <c r="D22" s="175">
        <f>IF(F19="Y",'Phase 2 PM for Averaging'!B21,"n/a")</f>
        <v>7</v>
      </c>
      <c r="E22" s="176"/>
      <c r="F22" s="177"/>
    </row>
    <row r="23" spans="1:6" ht="15">
      <c r="A23" s="37" t="s">
        <v>179</v>
      </c>
      <c r="B23" s="37"/>
      <c r="C23" s="54" t="str">
        <f>'Phase 2 PM for Averaging'!B39</f>
        <v>A</v>
      </c>
      <c r="D23" s="163">
        <f>'Phase 2 PM for Averaging'!B24</f>
        <v>22.8</v>
      </c>
      <c r="E23" s="164"/>
      <c r="F23" s="165"/>
    </row>
    <row r="24" spans="1:6" ht="15">
      <c r="A24" s="134" t="s">
        <v>180</v>
      </c>
      <c r="B24" s="135"/>
      <c r="C24" s="54" t="str">
        <f>'Phase 2 PM for Averaging'!B42</f>
        <v>A</v>
      </c>
      <c r="D24" s="172">
        <f>'Phase 2 PM for Averaging'!B30</f>
        <v>0.67</v>
      </c>
      <c r="E24" s="173"/>
      <c r="F24" s="174"/>
    </row>
    <row r="25" spans="1:6" ht="15">
      <c r="A25" s="134" t="s">
        <v>181</v>
      </c>
      <c r="B25" s="135"/>
      <c r="C25" s="54" t="str">
        <f>'Phase 2 PM for Averaging'!B40</f>
        <v>A</v>
      </c>
      <c r="D25" s="163">
        <f>'Phase 2 PM for Averaging'!B25</f>
        <v>5.6</v>
      </c>
      <c r="E25" s="164"/>
      <c r="F25" s="165"/>
    </row>
    <row r="26" spans="1:6" ht="15">
      <c r="A26" s="134" t="s">
        <v>182</v>
      </c>
      <c r="B26" s="135"/>
      <c r="C26" s="54" t="str">
        <f>'Phase 2 PM for Averaging'!B41</f>
        <v>A</v>
      </c>
      <c r="D26" s="160">
        <f>'Phase 2 PM for Averaging'!B29</f>
        <v>11</v>
      </c>
      <c r="E26" s="161"/>
      <c r="F26" s="162"/>
    </row>
    <row r="27" spans="1:6" ht="18">
      <c r="A27" s="134" t="s">
        <v>183</v>
      </c>
      <c r="B27" s="135"/>
      <c r="C27" s="54" t="str">
        <f>'Phase 2 PM for Averaging'!B37</f>
        <v>A</v>
      </c>
      <c r="D27" s="160">
        <f>'Phase 2 PM for Averaging'!B22</f>
        <v>189</v>
      </c>
      <c r="E27" s="161"/>
      <c r="F27" s="162"/>
    </row>
    <row r="28" spans="1:6" ht="18">
      <c r="A28" s="134" t="s">
        <v>184</v>
      </c>
      <c r="B28" s="135"/>
      <c r="C28" s="54" t="str">
        <f>'Phase 2 PM for Averaging'!B38</f>
        <v>F</v>
      </c>
      <c r="D28" s="160">
        <f>'Phase 2 PM for Averaging'!B23</f>
        <v>313</v>
      </c>
      <c r="E28" s="161"/>
      <c r="F28" s="162"/>
    </row>
    <row r="29" spans="1:6" ht="15">
      <c r="A29" s="134" t="s">
        <v>185</v>
      </c>
      <c r="B29" s="135"/>
      <c r="C29" s="38" t="s">
        <v>137</v>
      </c>
      <c r="D29" s="163">
        <f>'Phase 2 PM for Averaging'!B27</f>
        <v>2.2</v>
      </c>
      <c r="E29" s="164"/>
      <c r="F29" s="165"/>
    </row>
    <row r="30" spans="1:6" ht="15.75" thickBot="1">
      <c r="A30" s="136" t="s">
        <v>186</v>
      </c>
      <c r="B30" s="137"/>
      <c r="C30" s="36" t="s">
        <v>137</v>
      </c>
      <c r="D30" s="124">
        <f>'Phase 2 PM for Averaging'!C27</f>
        <v>0</v>
      </c>
      <c r="E30" s="125"/>
      <c r="F30" s="126"/>
    </row>
    <row r="31" spans="1:6" ht="16.5" thickBot="1" thickTop="1">
      <c r="A31" s="29"/>
      <c r="B31" s="29"/>
      <c r="C31" s="29"/>
      <c r="D31" s="40"/>
      <c r="E31" s="40"/>
      <c r="F31" s="41"/>
    </row>
    <row r="32" spans="1:6" ht="16.5" thickBot="1" thickTop="1">
      <c r="A32" s="147" t="s">
        <v>126</v>
      </c>
      <c r="B32" s="128"/>
      <c r="C32" s="129"/>
      <c r="D32" s="130" t="s">
        <v>129</v>
      </c>
      <c r="E32" s="131"/>
      <c r="F32" s="132"/>
    </row>
    <row r="33" spans="1:6" ht="16.5" thickBot="1" thickTop="1">
      <c r="A33" s="140" t="s">
        <v>130</v>
      </c>
      <c r="B33" s="133"/>
      <c r="C33" s="123"/>
      <c r="D33" s="42" t="s">
        <v>131</v>
      </c>
      <c r="E33" s="130" t="s">
        <v>132</v>
      </c>
      <c r="F33" s="132"/>
    </row>
    <row r="34" spans="1:6" ht="15.75" thickTop="1">
      <c r="A34" s="134" t="s">
        <v>133</v>
      </c>
      <c r="B34" s="122"/>
      <c r="C34" s="135"/>
      <c r="D34" s="48">
        <f>'Phase 2 PM for Averaging'!D56</f>
        <v>-0.01605750813983553</v>
      </c>
      <c r="E34" s="166">
        <f>'Phase 2 PM for Averaging'!D67</f>
        <v>-0.5770505218221883</v>
      </c>
      <c r="F34" s="167"/>
    </row>
    <row r="35" spans="1:6" ht="15">
      <c r="A35" s="134" t="s">
        <v>134</v>
      </c>
      <c r="B35" s="122"/>
      <c r="C35" s="135"/>
      <c r="D35" s="46">
        <f>'Phase 2 PM for Averaging'!D57</f>
        <v>-2.547286300715366</v>
      </c>
      <c r="E35" s="168">
        <f>'Phase 2 PM for Averaging'!D68</f>
        <v>-0.6845854663305667</v>
      </c>
      <c r="F35" s="169"/>
    </row>
    <row r="36" spans="1:6" ht="15.75" thickBot="1">
      <c r="A36" s="136" t="s">
        <v>135</v>
      </c>
      <c r="B36" s="127"/>
      <c r="C36" s="137"/>
      <c r="D36" s="47">
        <f>'Phase 2 PM for Averaging'!D58</f>
        <v>0.029986910292967295</v>
      </c>
      <c r="E36" s="170">
        <f>'Phase 2 PM for Averaging'!D69</f>
        <v>-1.5511369235760575</v>
      </c>
      <c r="F36" s="171"/>
    </row>
    <row r="37" spans="1:6" ht="15.75" thickTop="1">
      <c r="A37" s="29"/>
      <c r="B37" s="29"/>
      <c r="C37" s="29"/>
      <c r="D37" s="29"/>
      <c r="E37" s="29"/>
      <c r="F37" s="29"/>
    </row>
    <row r="38" spans="1:6" ht="15">
      <c r="A38" s="104" t="s">
        <v>204</v>
      </c>
      <c r="B38" s="53" t="str">
        <f>'Phase 2 PM for Averaging'!C71</f>
        <v>PASSES</v>
      </c>
      <c r="C38" s="178" t="s">
        <v>209</v>
      </c>
      <c r="D38" s="155"/>
      <c r="E38" s="155"/>
      <c r="F38" s="155"/>
    </row>
    <row r="39" spans="1:5" ht="15">
      <c r="A39" s="104" t="s">
        <v>210</v>
      </c>
      <c r="B39" s="69"/>
      <c r="C39" s="69"/>
      <c r="D39" s="103" t="str">
        <f>IF(B38="PASSES","less than or equal to 0.04%","greater than or equal to 0.05%")</f>
        <v>less than or equal to 0.04%</v>
      </c>
      <c r="E39" s="27"/>
    </row>
    <row r="40" spans="2:6" ht="15">
      <c r="B40" s="44"/>
      <c r="C40" s="43"/>
      <c r="D40" s="44"/>
      <c r="E40" s="44"/>
      <c r="F40" s="45"/>
    </row>
    <row r="41" spans="1:6" ht="15">
      <c r="A41" s="179" t="str">
        <f>A1</f>
        <v>REFINERY NAME</v>
      </c>
      <c r="B41" s="179"/>
      <c r="C41" s="180" t="s">
        <v>205</v>
      </c>
      <c r="D41" s="180"/>
      <c r="E41" s="180"/>
      <c r="F41" s="180"/>
    </row>
    <row r="42" spans="1:6" ht="15">
      <c r="A42" s="180" t="s">
        <v>211</v>
      </c>
      <c r="B42" s="180"/>
      <c r="C42" s="180"/>
      <c r="D42" s="180"/>
      <c r="E42" s="180"/>
      <c r="F42" s="180"/>
    </row>
    <row r="44" ht="15">
      <c r="F44" s="102" t="s">
        <v>245</v>
      </c>
    </row>
  </sheetData>
  <sheetProtection password="8A27" sheet="1" objects="1" scenarios="1"/>
  <mergeCells count="50">
    <mergeCell ref="C38:F38"/>
    <mergeCell ref="A41:B41"/>
    <mergeCell ref="C41:F41"/>
    <mergeCell ref="A42:F42"/>
    <mergeCell ref="D24:F24"/>
    <mergeCell ref="D25:F25"/>
    <mergeCell ref="D20:F20"/>
    <mergeCell ref="D21:F21"/>
    <mergeCell ref="D22:F22"/>
    <mergeCell ref="D23:F23"/>
    <mergeCell ref="A36:C36"/>
    <mergeCell ref="A32:C32"/>
    <mergeCell ref="D32:F32"/>
    <mergeCell ref="A33:C33"/>
    <mergeCell ref="A34:C34"/>
    <mergeCell ref="E34:F34"/>
    <mergeCell ref="E35:F35"/>
    <mergeCell ref="E36:F36"/>
    <mergeCell ref="A35:C35"/>
    <mergeCell ref="E33:F33"/>
    <mergeCell ref="D28:F28"/>
    <mergeCell ref="D29:F29"/>
    <mergeCell ref="D30:F30"/>
    <mergeCell ref="D26:F26"/>
    <mergeCell ref="D27:F27"/>
    <mergeCell ref="A6:F6"/>
    <mergeCell ref="A1:F1"/>
    <mergeCell ref="A2:F2"/>
    <mergeCell ref="A3:F3"/>
    <mergeCell ref="D19:E19"/>
    <mergeCell ref="A9:B9"/>
    <mergeCell ref="B10:C10"/>
    <mergeCell ref="B11:F11"/>
    <mergeCell ref="D10:E10"/>
    <mergeCell ref="D14:E14"/>
    <mergeCell ref="D15:E15"/>
    <mergeCell ref="D16:E16"/>
    <mergeCell ref="A21:B21"/>
    <mergeCell ref="B13:C13"/>
    <mergeCell ref="B14:C14"/>
    <mergeCell ref="B15:C15"/>
    <mergeCell ref="A20:B20"/>
    <mergeCell ref="A22:B22"/>
    <mergeCell ref="A24:B24"/>
    <mergeCell ref="A25:B25"/>
    <mergeCell ref="A26:B26"/>
    <mergeCell ref="A27:B27"/>
    <mergeCell ref="A28:B28"/>
    <mergeCell ref="A29:B29"/>
    <mergeCell ref="A30:B30"/>
  </mergeCells>
  <conditionalFormatting sqref="B38">
    <cfRule type="cellIs" priority="1" dxfId="0" operator="equal" stopIfTrue="1">
      <formula>"PASSES"</formula>
    </cfRule>
    <cfRule type="cellIs" priority="2" dxfId="1" operator="notEqual" stopIfTrue="1">
      <formula>"PASSES"</formula>
    </cfRule>
  </conditionalFormatting>
  <printOptions/>
  <pageMargins left="1.09" right="0.75" top="0.78" bottom="0.7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21" sqref="G21"/>
    </sheetView>
  </sheetViews>
  <sheetFormatPr defaultColWidth="8.88671875" defaultRowHeight="15"/>
  <cols>
    <col min="2" max="2" width="7.10546875" style="0" customWidth="1"/>
    <col min="3" max="3" width="6.4453125" style="0" customWidth="1"/>
    <col min="4" max="4" width="8.99609375" style="0" customWidth="1"/>
    <col min="5" max="5" width="14.99609375" style="0" bestFit="1" customWidth="1"/>
    <col min="6" max="6" width="6.21484375" style="0" customWidth="1"/>
    <col min="7" max="7" width="12.99609375" style="0" bestFit="1" customWidth="1"/>
    <col min="8" max="8" width="5.4453125" style="0" bestFit="1" customWidth="1"/>
  </cols>
  <sheetData>
    <row r="1" spans="1:6" ht="15">
      <c r="A1" s="29" t="s">
        <v>164</v>
      </c>
      <c r="B1" s="29"/>
      <c r="C1" s="29"/>
      <c r="D1" s="29"/>
      <c r="E1" s="29"/>
      <c r="F1" s="29"/>
    </row>
    <row r="2" spans="1:7" s="26" customFormat="1" ht="15">
      <c r="A2" s="56" t="str">
        <f>+'PM for DAL (Report)'!B13</f>
        <v>01700</v>
      </c>
      <c r="B2" s="56">
        <f>+'PM for DAL (Report)'!B8</f>
        <v>2</v>
      </c>
      <c r="C2" s="56" t="str">
        <f>+'PM for DAL (Report)'!D8</f>
        <v>CARB</v>
      </c>
      <c r="D2" s="56" t="str">
        <f>+'PM for DAL (Report)'!F14</f>
        <v>BB-110</v>
      </c>
      <c r="E2" s="77" t="str">
        <f>+TEXT('PM for DAL (Report)'!B14,"mmddyyyy")&amp;TEXT('PM for DAL (Report)'!B15,"hhmmss")</f>
        <v>10022001080400</v>
      </c>
      <c r="F2" s="56" t="str">
        <f>'PM for DAL (Report)'!F15</f>
        <v>T1</v>
      </c>
      <c r="G2" s="56">
        <f>IF('PM for DAL (Report)'!F16=0,"",'PM for DAL (Report)'!F16)</f>
        <v>87</v>
      </c>
    </row>
    <row r="3" spans="1:6" ht="15">
      <c r="A3" s="29" t="s">
        <v>16</v>
      </c>
      <c r="B3" s="64">
        <f>'Phase 2 PM for Averaging'!B21</f>
        <v>7</v>
      </c>
      <c r="C3" s="111" t="str">
        <f>+'PM for DAL (Report)'!F19</f>
        <v>y</v>
      </c>
      <c r="D3" s="29"/>
      <c r="E3" s="29"/>
      <c r="F3" s="29"/>
    </row>
    <row r="4" spans="1:6" ht="15">
      <c r="A4" s="29" t="s">
        <v>138</v>
      </c>
      <c r="B4" s="63">
        <f>+'PM for DAL (Report)'!D23</f>
        <v>22.8</v>
      </c>
      <c r="C4" s="34" t="str">
        <f>+'PM for DAL (Report)'!C23</f>
        <v>A</v>
      </c>
      <c r="D4" s="29"/>
      <c r="E4" s="29"/>
      <c r="F4" s="29"/>
    </row>
    <row r="5" spans="1:6" ht="15">
      <c r="A5" s="29" t="s">
        <v>139</v>
      </c>
      <c r="B5" s="64">
        <f>+'PM for DAL (Report)'!D24</f>
        <v>0.67</v>
      </c>
      <c r="C5" s="34" t="str">
        <f>+'PM for DAL (Report)'!C24</f>
        <v>A</v>
      </c>
      <c r="D5" s="29"/>
      <c r="E5" s="29"/>
      <c r="F5" s="29"/>
    </row>
    <row r="6" spans="1:6" ht="15">
      <c r="A6" s="29" t="s">
        <v>140</v>
      </c>
      <c r="B6" s="63">
        <f>+'PM for DAL (Report)'!D25</f>
        <v>5.6</v>
      </c>
      <c r="C6" s="34" t="str">
        <f>+'PM for DAL (Report)'!C25</f>
        <v>A</v>
      </c>
      <c r="D6" s="29"/>
      <c r="E6" s="29"/>
      <c r="F6" s="29"/>
    </row>
    <row r="7" spans="1:6" ht="15">
      <c r="A7" s="29" t="s">
        <v>141</v>
      </c>
      <c r="B7" s="65">
        <f>+'PM for DAL (Report)'!D26</f>
        <v>11</v>
      </c>
      <c r="C7" s="34" t="str">
        <f>+'PM for DAL (Report)'!C26</f>
        <v>A</v>
      </c>
      <c r="D7" s="29"/>
      <c r="E7" s="29"/>
      <c r="F7" s="29"/>
    </row>
    <row r="8" spans="1:6" ht="15">
      <c r="A8" s="29" t="s">
        <v>18</v>
      </c>
      <c r="B8" s="65">
        <f>+'PM for DAL (Report)'!D27</f>
        <v>189</v>
      </c>
      <c r="C8" s="34" t="str">
        <f>+'PM for DAL (Report)'!C27</f>
        <v>A</v>
      </c>
      <c r="D8" s="29"/>
      <c r="E8" s="29"/>
      <c r="F8" s="29"/>
    </row>
    <row r="9" spans="1:6" ht="15">
      <c r="A9" s="29" t="s">
        <v>20</v>
      </c>
      <c r="B9" s="65">
        <f>+'PM for DAL (Report)'!D28</f>
        <v>313</v>
      </c>
      <c r="C9" s="34" t="str">
        <f>+'PM for DAL (Report)'!C28</f>
        <v>F</v>
      </c>
      <c r="D9" s="29"/>
      <c r="E9" s="29"/>
      <c r="F9" s="29"/>
    </row>
    <row r="10" spans="1:6" ht="15">
      <c r="A10" s="29" t="s">
        <v>142</v>
      </c>
      <c r="B10" s="63">
        <f>+'PM for DAL (Report)'!D29</f>
        <v>2.2</v>
      </c>
      <c r="C10" s="29"/>
      <c r="D10" s="29"/>
      <c r="E10" s="29"/>
      <c r="F10" s="29"/>
    </row>
    <row r="11" spans="1:6" ht="15">
      <c r="A11" s="29" t="s">
        <v>143</v>
      </c>
      <c r="B11" s="63">
        <f>+'PM for DAL (Report)'!D30</f>
        <v>0</v>
      </c>
      <c r="C11" s="29"/>
      <c r="D11" s="29"/>
      <c r="E11" s="29"/>
      <c r="F11" s="29"/>
    </row>
  </sheetData>
  <sheetProtection password="8BA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F21" sqref="F21"/>
    </sheetView>
  </sheetViews>
  <sheetFormatPr defaultColWidth="8.88671875" defaultRowHeight="15"/>
  <cols>
    <col min="1" max="1" width="19.77734375" style="0" customWidth="1"/>
    <col min="2" max="2" width="14.99609375" style="0" customWidth="1"/>
    <col min="3" max="3" width="21.77734375" style="0" customWidth="1"/>
    <col min="4" max="4" width="13.6640625" style="0" customWidth="1"/>
  </cols>
  <sheetData>
    <row r="1" spans="1:4" ht="18">
      <c r="A1" s="158" t="s">
        <v>150</v>
      </c>
      <c r="B1" s="145"/>
      <c r="C1" s="145"/>
      <c r="D1" s="145"/>
    </row>
    <row r="2" spans="1:4" ht="15">
      <c r="A2" s="159" t="s">
        <v>151</v>
      </c>
      <c r="B2" s="145"/>
      <c r="C2" s="145"/>
      <c r="D2" s="145"/>
    </row>
    <row r="3" spans="1:4" ht="15">
      <c r="A3" s="159" t="s">
        <v>152</v>
      </c>
      <c r="B3" s="145"/>
      <c r="C3" s="145"/>
      <c r="D3" s="145"/>
    </row>
    <row r="4" spans="1:4" ht="15">
      <c r="A4" s="29"/>
      <c r="B4" s="55"/>
      <c r="C4" s="55"/>
      <c r="D4" s="29"/>
    </row>
    <row r="5" spans="1:4" ht="15">
      <c r="A5" s="29"/>
      <c r="B5" s="55"/>
      <c r="C5" s="55"/>
      <c r="D5" s="29"/>
    </row>
    <row r="6" spans="1:4" ht="18">
      <c r="A6" s="157" t="s">
        <v>194</v>
      </c>
      <c r="B6" s="157"/>
      <c r="C6" s="157"/>
      <c r="D6" s="157"/>
    </row>
    <row r="7" spans="1:4" ht="18">
      <c r="A7" s="73"/>
      <c r="B7" s="73"/>
      <c r="C7" s="73"/>
      <c r="D7" s="73"/>
    </row>
    <row r="8" spans="1:4" ht="15">
      <c r="A8" s="29"/>
      <c r="B8" s="29"/>
      <c r="C8" s="29"/>
      <c r="D8" s="29"/>
    </row>
    <row r="9" spans="1:4" ht="15.75">
      <c r="A9" s="49" t="s">
        <v>144</v>
      </c>
      <c r="B9" s="51">
        <v>2</v>
      </c>
      <c r="C9" s="49" t="s">
        <v>145</v>
      </c>
      <c r="D9" s="50" t="s">
        <v>147</v>
      </c>
    </row>
    <row r="10" spans="1:4" ht="15">
      <c r="A10" s="30"/>
      <c r="B10" s="31"/>
      <c r="C10" s="29"/>
      <c r="D10" s="29"/>
    </row>
    <row r="11" spans="1:4" ht="15">
      <c r="A11" s="32" t="s">
        <v>122</v>
      </c>
      <c r="B11" s="94"/>
      <c r="C11" s="33" t="s">
        <v>200</v>
      </c>
      <c r="D11" s="94"/>
    </row>
    <row r="12" spans="1:4" ht="15">
      <c r="A12" s="32" t="s">
        <v>136</v>
      </c>
      <c r="B12" s="153"/>
      <c r="C12" s="153"/>
      <c r="D12" s="153"/>
    </row>
    <row r="13" spans="1:4" ht="15">
      <c r="A13" s="32"/>
      <c r="B13" s="52"/>
      <c r="C13" s="33"/>
      <c r="D13" s="32"/>
    </row>
    <row r="14" spans="1:4" ht="15">
      <c r="A14" s="29" t="s">
        <v>146</v>
      </c>
      <c r="B14" s="72" t="str">
        <f>'PM for DAL (Report)'!B13</f>
        <v>01700</v>
      </c>
      <c r="C14" s="34"/>
      <c r="D14" s="62"/>
    </row>
    <row r="15" spans="1:4" ht="15">
      <c r="A15" s="29" t="s">
        <v>195</v>
      </c>
      <c r="B15" s="96">
        <v>37165</v>
      </c>
      <c r="C15" s="34" t="s">
        <v>196</v>
      </c>
      <c r="D15" s="62" t="str">
        <f>'PM for DAL (Report)'!F14</f>
        <v>BB-110</v>
      </c>
    </row>
    <row r="16" spans="1:4" ht="15">
      <c r="A16" s="29" t="s">
        <v>193</v>
      </c>
      <c r="B16" s="97">
        <v>0.9173611111111111</v>
      </c>
      <c r="C16" s="34" t="s">
        <v>170</v>
      </c>
      <c r="D16" s="94">
        <v>438</v>
      </c>
    </row>
    <row r="17" spans="1:7" ht="15">
      <c r="A17" t="s">
        <v>162</v>
      </c>
      <c r="B17" s="98">
        <v>37166</v>
      </c>
      <c r="C17" s="27" t="s">
        <v>123</v>
      </c>
      <c r="D17" s="95">
        <v>87</v>
      </c>
      <c r="G17" s="27"/>
    </row>
    <row r="18" spans="1:4" ht="15">
      <c r="A18" s="29" t="s">
        <v>161</v>
      </c>
      <c r="B18" s="99">
        <v>0.9597222222222223</v>
      </c>
      <c r="C18" s="27" t="s">
        <v>198</v>
      </c>
      <c r="D18" s="94">
        <v>181</v>
      </c>
    </row>
    <row r="19" spans="3:4" ht="15">
      <c r="C19" s="27" t="s">
        <v>203</v>
      </c>
      <c r="D19" s="100">
        <v>124807</v>
      </c>
    </row>
    <row r="20" ht="15.75" thickBot="1">
      <c r="D20" s="107"/>
    </row>
    <row r="21" ht="15.75" thickTop="1">
      <c r="D21" s="108" t="s">
        <v>214</v>
      </c>
    </row>
    <row r="22" spans="1:4" ht="15.75" thickBot="1">
      <c r="A22" s="185" t="s">
        <v>215</v>
      </c>
      <c r="B22" s="150"/>
      <c r="C22" s="150"/>
      <c r="D22" s="121" t="s">
        <v>246</v>
      </c>
    </row>
    <row r="23" spans="1:4" ht="15.75" thickTop="1">
      <c r="A23" s="35" t="s">
        <v>124</v>
      </c>
      <c r="B23" s="35" t="s">
        <v>171</v>
      </c>
      <c r="C23" s="147" t="s">
        <v>187</v>
      </c>
      <c r="D23" s="148"/>
    </row>
    <row r="24" spans="1:4" ht="15.75" thickBot="1">
      <c r="A24" s="36" t="s">
        <v>127</v>
      </c>
      <c r="B24" s="36" t="s">
        <v>128</v>
      </c>
      <c r="C24" s="140" t="s">
        <v>188</v>
      </c>
      <c r="D24" s="141"/>
    </row>
    <row r="25" spans="1:4" ht="15.75" thickTop="1">
      <c r="A25" s="37" t="s">
        <v>178</v>
      </c>
      <c r="B25" s="24" t="s">
        <v>137</v>
      </c>
      <c r="C25" s="183" t="str">
        <f>IF(D22="y",'Phase 2 PM for Averaging'!B21,"n/a")</f>
        <v>n/a</v>
      </c>
      <c r="D25" s="184"/>
    </row>
    <row r="26" spans="1:4" ht="15">
      <c r="A26" s="37" t="s">
        <v>179</v>
      </c>
      <c r="B26" s="61" t="str">
        <f>'Phase 2 PM for Averaging'!B39</f>
        <v>A</v>
      </c>
      <c r="C26" s="181" t="str">
        <f>IF('Phase 2 PM for Averaging'!B39="F",'Phase 2 PM for Averaging'!B24," ")</f>
        <v> </v>
      </c>
      <c r="D26" s="182"/>
    </row>
    <row r="27" spans="1:4" ht="15">
      <c r="A27" s="37" t="s">
        <v>180</v>
      </c>
      <c r="B27" s="61" t="str">
        <f>'Phase 2 PM for Averaging'!B42</f>
        <v>A</v>
      </c>
      <c r="C27" s="189" t="str">
        <f>IF('Phase 2 PM for Averaging'!B42="F",'Phase 2 PM for Averaging'!B30," ")</f>
        <v> </v>
      </c>
      <c r="D27" s="190"/>
    </row>
    <row r="28" spans="1:4" ht="15">
      <c r="A28" s="37" t="s">
        <v>181</v>
      </c>
      <c r="B28" s="61" t="str">
        <f>'Phase 2 PM for Averaging'!B40</f>
        <v>A</v>
      </c>
      <c r="C28" s="181" t="str">
        <f>IF('Phase 2 PM for Averaging'!B40="F",'Phase 2 PM for Averaging'!B25," ")</f>
        <v> </v>
      </c>
      <c r="D28" s="182"/>
    </row>
    <row r="29" spans="1:4" ht="15">
      <c r="A29" s="37" t="s">
        <v>182</v>
      </c>
      <c r="B29" s="61" t="str">
        <f>'Phase 2 PM for Averaging'!B41</f>
        <v>A</v>
      </c>
      <c r="C29" s="191" t="str">
        <f>IF('Phase 2 PM for Averaging'!B41="F",'Phase 2 PM for Averaging'!B29," ")</f>
        <v> </v>
      </c>
      <c r="D29" s="192"/>
    </row>
    <row r="30" spans="1:4" ht="18">
      <c r="A30" s="37" t="s">
        <v>183</v>
      </c>
      <c r="B30" s="61" t="str">
        <f>'Phase 2 PM for Averaging'!B37</f>
        <v>A</v>
      </c>
      <c r="C30" s="191" t="str">
        <f>IF('Phase 2 PM for Averaging'!B37="F",'Phase 2 PM for Averaging'!B22," ")</f>
        <v> </v>
      </c>
      <c r="D30" s="192"/>
    </row>
    <row r="31" spans="1:4" ht="18">
      <c r="A31" s="37" t="s">
        <v>184</v>
      </c>
      <c r="B31" s="61" t="str">
        <f>'Phase 2 PM for Averaging'!B38</f>
        <v>F</v>
      </c>
      <c r="C31" s="191">
        <f>IF('Phase 2 PM for Averaging'!B38="F",'Phase 2 PM for Averaging'!B23," ")</f>
        <v>313</v>
      </c>
      <c r="D31" s="192"/>
    </row>
    <row r="32" spans="1:4" ht="15">
      <c r="A32" s="37" t="s">
        <v>190</v>
      </c>
      <c r="B32" s="24" t="s">
        <v>137</v>
      </c>
      <c r="C32" s="181"/>
      <c r="D32" s="182"/>
    </row>
    <row r="33" spans="1:4" ht="15.75" thickBot="1">
      <c r="A33" s="39" t="s">
        <v>148</v>
      </c>
      <c r="B33" s="59" t="s">
        <v>137</v>
      </c>
      <c r="C33" s="187">
        <v>57</v>
      </c>
      <c r="D33" s="188"/>
    </row>
    <row r="34" spans="1:4" ht="15.75" thickTop="1">
      <c r="A34" s="29"/>
      <c r="B34" s="29"/>
      <c r="C34" s="40"/>
      <c r="D34" s="40"/>
    </row>
    <row r="35" spans="1:4" ht="15">
      <c r="A35" s="103" t="str">
        <f>A1</f>
        <v>REFINERY NAME</v>
      </c>
      <c r="B35" s="180" t="s">
        <v>206</v>
      </c>
      <c r="C35" s="180"/>
      <c r="D35" s="180"/>
    </row>
    <row r="36" spans="1:4" ht="15">
      <c r="A36" s="186" t="s">
        <v>207</v>
      </c>
      <c r="B36" s="186"/>
      <c r="C36" s="186"/>
      <c r="D36" s="186"/>
    </row>
    <row r="42" ht="15">
      <c r="D42" s="102" t="s">
        <v>245</v>
      </c>
    </row>
  </sheetData>
  <sheetProtection password="8A27" sheet="1" objects="1" scenarios="1"/>
  <mergeCells count="19">
    <mergeCell ref="B35:D35"/>
    <mergeCell ref="A36:D36"/>
    <mergeCell ref="C33:D33"/>
    <mergeCell ref="C27:D27"/>
    <mergeCell ref="C28:D28"/>
    <mergeCell ref="C29:D29"/>
    <mergeCell ref="C30:D30"/>
    <mergeCell ref="C31:D31"/>
    <mergeCell ref="C32:D32"/>
    <mergeCell ref="A1:D1"/>
    <mergeCell ref="A2:D2"/>
    <mergeCell ref="A3:D3"/>
    <mergeCell ref="C26:D26"/>
    <mergeCell ref="B12:D12"/>
    <mergeCell ref="A6:D6"/>
    <mergeCell ref="C23:D23"/>
    <mergeCell ref="C24:D24"/>
    <mergeCell ref="C25:D25"/>
    <mergeCell ref="A22:C22"/>
  </mergeCells>
  <printOptions/>
  <pageMargins left="1.16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6" sqref="D6"/>
    </sheetView>
  </sheetViews>
  <sheetFormatPr defaultColWidth="8.88671875" defaultRowHeight="15"/>
  <cols>
    <col min="3" max="4" width="14.99609375" style="0" bestFit="1" customWidth="1"/>
    <col min="5" max="5" width="8.6640625" style="0" customWidth="1"/>
    <col min="7" max="7" width="8.21484375" style="0" customWidth="1"/>
  </cols>
  <sheetData>
    <row r="1" spans="1:7" ht="15">
      <c r="A1" s="29" t="s">
        <v>163</v>
      </c>
      <c r="B1" s="29"/>
      <c r="C1" s="29"/>
      <c r="D1" s="29"/>
      <c r="E1" s="29"/>
      <c r="F1" s="29"/>
      <c r="G1" s="29"/>
    </row>
    <row r="2" spans="1:8" ht="15">
      <c r="A2" s="56" t="str">
        <f>+'DAL Batch (Report)'!B14</f>
        <v>01700</v>
      </c>
      <c r="B2" s="56" t="str">
        <f>+'DAL Batch (Report)'!D15</f>
        <v>BB-110</v>
      </c>
      <c r="C2" s="67" t="str">
        <f>+TEXT('DAL Batch (Report)'!B15,"mmddyyyy")&amp;TEXT('DAL Batch (Report)'!B16,"hhmmss")</f>
        <v>10012001220100</v>
      </c>
      <c r="D2" s="67" t="str">
        <f>IF('DAL Batch (Report)'!B17=0,'DAL Batch (Data)'!C2,TEXT('DAL Batch (Report)'!B17,"mmddyyyy")&amp;TEXT('DAL Batch (Report)'!B18,"hhmmss"))</f>
        <v>10022001230200</v>
      </c>
      <c r="E2" s="56">
        <f>+'DAL Batch (Report)'!D18</f>
        <v>181</v>
      </c>
      <c r="F2" s="56">
        <f>+'DAL Batch (Report)'!D16</f>
        <v>438</v>
      </c>
      <c r="G2" s="68">
        <f>+'DAL Batch (Report)'!D19</f>
        <v>124807</v>
      </c>
      <c r="H2">
        <f>IF('DAL Batch (Report)'!D17=0,"",'DAL Batch (Report)'!D17)</f>
        <v>87</v>
      </c>
    </row>
    <row r="3" spans="1:7" ht="15">
      <c r="A3" s="29" t="s">
        <v>16</v>
      </c>
      <c r="B3" s="64" t="str">
        <f>+'DAL Batch (Report)'!C25</f>
        <v>n/a</v>
      </c>
      <c r="C3" s="77" t="str">
        <f>+'DAL Batch (Report)'!D22</f>
        <v>n</v>
      </c>
      <c r="D3" s="29"/>
      <c r="E3" s="29"/>
      <c r="F3" s="29"/>
      <c r="G3" s="29"/>
    </row>
    <row r="4" spans="1:7" ht="15">
      <c r="A4" s="29" t="s">
        <v>138</v>
      </c>
      <c r="B4" s="63" t="str">
        <f>+'DAL Batch (Report)'!C26</f>
        <v> </v>
      </c>
      <c r="C4" s="34"/>
      <c r="D4" s="112"/>
      <c r="E4" s="29"/>
      <c r="F4" s="29"/>
      <c r="G4" s="29"/>
    </row>
    <row r="5" spans="1:7" ht="15">
      <c r="A5" s="29" t="s">
        <v>139</v>
      </c>
      <c r="B5" s="64" t="str">
        <f>+'DAL Batch (Report)'!C27</f>
        <v> </v>
      </c>
      <c r="C5" s="34"/>
      <c r="D5" s="29"/>
      <c r="E5" s="29"/>
      <c r="F5" s="29"/>
      <c r="G5" s="29"/>
    </row>
    <row r="6" spans="1:7" ht="15">
      <c r="A6" s="29" t="s">
        <v>140</v>
      </c>
      <c r="B6" s="63" t="str">
        <f>+'DAL Batch (Report)'!C28</f>
        <v> </v>
      </c>
      <c r="C6" s="34"/>
      <c r="D6" s="29"/>
      <c r="E6" s="29"/>
      <c r="F6" s="29"/>
      <c r="G6" s="29"/>
    </row>
    <row r="7" spans="1:7" ht="15">
      <c r="A7" s="29" t="s">
        <v>141</v>
      </c>
      <c r="B7" s="65" t="str">
        <f>+'DAL Batch (Report)'!C29</f>
        <v> </v>
      </c>
      <c r="C7" s="34"/>
      <c r="D7" s="29"/>
      <c r="E7" s="29"/>
      <c r="F7" s="29"/>
      <c r="G7" s="29"/>
    </row>
    <row r="8" spans="1:7" ht="15">
      <c r="A8" s="29" t="s">
        <v>18</v>
      </c>
      <c r="B8" s="65" t="str">
        <f>+'DAL Batch (Report)'!C30</f>
        <v> </v>
      </c>
      <c r="C8" s="34"/>
      <c r="D8" s="29"/>
      <c r="E8" s="29"/>
      <c r="F8" s="29"/>
      <c r="G8" s="29"/>
    </row>
    <row r="9" spans="1:7" ht="15">
      <c r="A9" s="29" t="s">
        <v>20</v>
      </c>
      <c r="B9" s="65">
        <f>+'DAL Batch (Report)'!C31</f>
        <v>313</v>
      </c>
      <c r="C9" s="34"/>
      <c r="D9" s="29"/>
      <c r="E9" s="29"/>
      <c r="F9" s="29"/>
      <c r="G9" s="29"/>
    </row>
    <row r="10" spans="1:7" ht="15">
      <c r="A10" s="29" t="s">
        <v>149</v>
      </c>
      <c r="B10" s="63">
        <f>+'DAL Batch (Report)'!C32</f>
        <v>0</v>
      </c>
      <c r="C10" s="34"/>
      <c r="D10" s="29"/>
      <c r="E10" s="29"/>
      <c r="F10" s="29"/>
      <c r="G10" s="29"/>
    </row>
    <row r="11" spans="1:7" ht="15">
      <c r="A11" s="29" t="s">
        <v>148</v>
      </c>
      <c r="B11" s="63">
        <f>+'DAL Batch (Report)'!C33</f>
        <v>57</v>
      </c>
      <c r="C11" s="34"/>
      <c r="D11" s="29"/>
      <c r="E11" s="29"/>
      <c r="F11" s="29"/>
      <c r="G11" s="29"/>
    </row>
    <row r="12" spans="1:7" ht="15">
      <c r="A12" s="29"/>
      <c r="B12" s="31"/>
      <c r="C12" s="34"/>
      <c r="D12" s="29"/>
      <c r="E12" s="29"/>
      <c r="F12" s="29"/>
      <c r="G12" s="29"/>
    </row>
    <row r="13" spans="1:7" ht="15">
      <c r="A13" s="29"/>
      <c r="B13" s="31"/>
      <c r="C13" s="34"/>
      <c r="D13" s="29"/>
      <c r="E13" s="29"/>
      <c r="F13" s="29"/>
      <c r="G13" s="29"/>
    </row>
    <row r="14" spans="1:7" ht="15">
      <c r="A14" s="29"/>
      <c r="B14" s="31"/>
      <c r="C14" s="34"/>
      <c r="D14" s="29"/>
      <c r="E14" s="29"/>
      <c r="F14" s="29"/>
      <c r="G14" s="29"/>
    </row>
    <row r="15" spans="1:7" ht="15">
      <c r="A15" s="29"/>
      <c r="B15" s="31"/>
      <c r="C15" s="34"/>
      <c r="D15" s="29"/>
      <c r="E15" s="29"/>
      <c r="F15" s="29"/>
      <c r="G15" s="29"/>
    </row>
    <row r="16" spans="3:7" ht="15">
      <c r="C16" s="29"/>
      <c r="D16" s="29"/>
      <c r="E16" s="29"/>
      <c r="F16" s="29"/>
      <c r="G16" s="29"/>
    </row>
    <row r="17" spans="3:7" ht="15">
      <c r="C17" s="29"/>
      <c r="D17" s="29"/>
      <c r="E17" s="29"/>
      <c r="F17" s="29"/>
      <c r="G17" s="29"/>
    </row>
  </sheetData>
  <sheetProtection password="8BA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75" zoomScaleNormal="75" workbookViewId="0" topLeftCell="A31">
      <selection activeCell="G56" sqref="G56"/>
    </sheetView>
  </sheetViews>
  <sheetFormatPr defaultColWidth="8.88671875" defaultRowHeight="15"/>
  <cols>
    <col min="1" max="1" width="11.21484375" style="0" customWidth="1"/>
    <col min="2" max="2" width="9.6640625" style="0" customWidth="1"/>
    <col min="3" max="3" width="10.99609375" style="0" customWidth="1"/>
    <col min="4" max="4" width="10.21484375" style="0" customWidth="1"/>
    <col min="5" max="5" width="10.99609375" style="0" customWidth="1"/>
    <col min="6" max="6" width="10.21484375" style="0" customWidth="1"/>
    <col min="7" max="8" width="10.88671875" style="0" customWidth="1"/>
  </cols>
  <sheetData>
    <row r="1" spans="1:8" ht="18">
      <c r="A1" s="158" t="s">
        <v>150</v>
      </c>
      <c r="B1" s="145"/>
      <c r="C1" s="145"/>
      <c r="D1" s="145"/>
      <c r="E1" s="145"/>
      <c r="F1" s="145"/>
      <c r="G1" s="145"/>
      <c r="H1" s="145"/>
    </row>
    <row r="2" spans="1:8" ht="15">
      <c r="A2" s="159" t="s">
        <v>160</v>
      </c>
      <c r="B2" s="145"/>
      <c r="C2" s="145"/>
      <c r="D2" s="145"/>
      <c r="E2" s="145"/>
      <c r="F2" s="145"/>
      <c r="G2" s="145"/>
      <c r="H2" s="145"/>
    </row>
    <row r="3" spans="1:8" ht="15">
      <c r="A3" s="159" t="s">
        <v>152</v>
      </c>
      <c r="B3" s="145"/>
      <c r="C3" s="145"/>
      <c r="D3" s="145"/>
      <c r="E3" s="145"/>
      <c r="F3" s="145"/>
      <c r="G3" s="145"/>
      <c r="H3" s="145"/>
    </row>
    <row r="5" spans="1:8" ht="18">
      <c r="A5" s="193" t="s">
        <v>243</v>
      </c>
      <c r="B5" s="194"/>
      <c r="C5" s="194"/>
      <c r="D5" s="194"/>
      <c r="E5" s="194"/>
      <c r="F5" s="194"/>
      <c r="G5" s="155"/>
      <c r="H5" s="155"/>
    </row>
    <row r="6" spans="1:8" ht="18">
      <c r="A6" s="158" t="s">
        <v>153</v>
      </c>
      <c r="B6" s="158"/>
      <c r="C6" s="158"/>
      <c r="D6" s="158"/>
      <c r="E6" s="158"/>
      <c r="F6" s="158"/>
      <c r="G6" s="197"/>
      <c r="H6" s="197"/>
    </row>
    <row r="8" spans="1:6" ht="15">
      <c r="A8" s="151"/>
      <c r="B8" s="155"/>
      <c r="C8" s="29"/>
      <c r="D8" s="29"/>
      <c r="E8" s="29"/>
      <c r="F8" s="29"/>
    </row>
    <row r="9" spans="1:8" ht="15">
      <c r="A9" s="198" t="s">
        <v>122</v>
      </c>
      <c r="B9" s="155"/>
      <c r="C9" s="152"/>
      <c r="D9" s="152"/>
      <c r="E9" s="154" t="s">
        <v>200</v>
      </c>
      <c r="F9" s="154"/>
      <c r="G9" s="152"/>
      <c r="H9" s="199"/>
    </row>
    <row r="10" spans="1:8" ht="15">
      <c r="A10" s="32" t="s">
        <v>136</v>
      </c>
      <c r="B10" s="153"/>
      <c r="C10" s="153"/>
      <c r="D10" s="153"/>
      <c r="E10" s="153"/>
      <c r="F10" s="153"/>
      <c r="G10" s="153"/>
      <c r="H10" s="153"/>
    </row>
    <row r="11" spans="1:6" ht="15">
      <c r="A11" s="32"/>
      <c r="B11" s="52"/>
      <c r="C11" s="33"/>
      <c r="D11" s="33"/>
      <c r="E11" s="32"/>
      <c r="F11" s="32"/>
    </row>
    <row r="12" spans="1:7" ht="15">
      <c r="A12" s="29" t="s">
        <v>146</v>
      </c>
      <c r="B12" s="72"/>
      <c r="C12" s="66" t="str">
        <f>'DAL Batch (Report)'!B14</f>
        <v>01700</v>
      </c>
      <c r="E12" s="69"/>
      <c r="F12" s="34" t="s">
        <v>196</v>
      </c>
      <c r="G12" s="71" t="str">
        <f>'PM for DAL (Report)'!F14</f>
        <v>BB-110</v>
      </c>
    </row>
    <row r="13" ht="15.75" thickBot="1"/>
    <row r="14" spans="1:8" ht="15.75" thickTop="1">
      <c r="A14" s="57" t="s">
        <v>172</v>
      </c>
      <c r="B14" s="57" t="s">
        <v>158</v>
      </c>
      <c r="C14" s="57" t="s">
        <v>174</v>
      </c>
      <c r="D14" s="57" t="s">
        <v>172</v>
      </c>
      <c r="E14" s="57" t="s">
        <v>175</v>
      </c>
      <c r="F14" s="57" t="s">
        <v>175</v>
      </c>
      <c r="G14" s="57" t="s">
        <v>155</v>
      </c>
      <c r="H14" s="57" t="s">
        <v>157</v>
      </c>
    </row>
    <row r="15" spans="1:8" ht="15">
      <c r="A15" s="60" t="s">
        <v>159</v>
      </c>
      <c r="B15" s="60" t="s">
        <v>159</v>
      </c>
      <c r="C15" s="60" t="s">
        <v>173</v>
      </c>
      <c r="D15" s="60" t="s">
        <v>173</v>
      </c>
      <c r="E15" s="60" t="s">
        <v>176</v>
      </c>
      <c r="F15" s="60" t="s">
        <v>177</v>
      </c>
      <c r="G15" s="60" t="s">
        <v>156</v>
      </c>
      <c r="H15" s="60" t="s">
        <v>156</v>
      </c>
    </row>
    <row r="16" spans="1:8" ht="15.75" thickBot="1">
      <c r="A16" s="59"/>
      <c r="B16" s="58"/>
      <c r="C16" s="59" t="s">
        <v>154</v>
      </c>
      <c r="D16" s="59" t="s">
        <v>167</v>
      </c>
      <c r="E16" s="59" t="s">
        <v>154</v>
      </c>
      <c r="F16" s="59" t="s">
        <v>167</v>
      </c>
      <c r="G16" s="59" t="s">
        <v>168</v>
      </c>
      <c r="H16" s="59" t="s">
        <v>168</v>
      </c>
    </row>
    <row r="17" spans="1:8" ht="15.75" thickTop="1">
      <c r="A17" s="78">
        <v>123456</v>
      </c>
      <c r="B17" s="79" t="s">
        <v>166</v>
      </c>
      <c r="C17" s="80">
        <v>37104</v>
      </c>
      <c r="D17" s="81">
        <v>0.043090277777777776</v>
      </c>
      <c r="E17" s="80">
        <v>37105</v>
      </c>
      <c r="F17" s="81">
        <v>0.5437615740740741</v>
      </c>
      <c r="G17" s="82">
        <v>45000</v>
      </c>
      <c r="H17" s="83">
        <v>45123</v>
      </c>
    </row>
    <row r="18" spans="1:8" ht="15">
      <c r="A18" s="84">
        <v>123457</v>
      </c>
      <c r="B18" s="85" t="s">
        <v>169</v>
      </c>
      <c r="C18" s="86">
        <v>37105</v>
      </c>
      <c r="D18" s="87">
        <v>0.08402777777777777</v>
      </c>
      <c r="E18" s="86">
        <v>37105</v>
      </c>
      <c r="F18" s="87">
        <v>0.625</v>
      </c>
      <c r="G18" s="88">
        <v>46000</v>
      </c>
      <c r="H18" s="89">
        <v>45500</v>
      </c>
    </row>
    <row r="19" spans="1:8" ht="15">
      <c r="A19" s="84">
        <v>123459</v>
      </c>
      <c r="B19" s="85" t="s">
        <v>166</v>
      </c>
      <c r="C19" s="86">
        <v>37106</v>
      </c>
      <c r="D19" s="87">
        <v>0.08472222222222221</v>
      </c>
      <c r="E19" s="86">
        <v>37106</v>
      </c>
      <c r="F19" s="87">
        <v>0.6256944444444444</v>
      </c>
      <c r="G19" s="88">
        <v>47000</v>
      </c>
      <c r="H19" s="89">
        <v>46500</v>
      </c>
    </row>
    <row r="20" spans="1:8" ht="15">
      <c r="A20" s="84">
        <v>123460</v>
      </c>
      <c r="B20" s="85" t="s">
        <v>169</v>
      </c>
      <c r="C20" s="86">
        <v>37107</v>
      </c>
      <c r="D20" s="87">
        <v>0.0854166666666667</v>
      </c>
      <c r="E20" s="86">
        <v>37107</v>
      </c>
      <c r="F20" s="87">
        <v>0.626388888888889</v>
      </c>
      <c r="G20" s="88">
        <v>48000</v>
      </c>
      <c r="H20" s="89">
        <v>47500</v>
      </c>
    </row>
    <row r="21" spans="1:8" ht="15">
      <c r="A21" s="84">
        <v>123461</v>
      </c>
      <c r="B21" s="85" t="s">
        <v>219</v>
      </c>
      <c r="C21" s="86">
        <v>37108</v>
      </c>
      <c r="D21" s="87">
        <v>0.0861111111111111</v>
      </c>
      <c r="E21" s="86">
        <v>37108</v>
      </c>
      <c r="F21" s="87">
        <v>0.627083333333333</v>
      </c>
      <c r="G21" s="88">
        <v>49000</v>
      </c>
      <c r="H21" s="89">
        <v>48500</v>
      </c>
    </row>
    <row r="22" spans="1:8" ht="15">
      <c r="A22" s="84">
        <v>123462</v>
      </c>
      <c r="B22" s="85" t="s">
        <v>220</v>
      </c>
      <c r="C22" s="86">
        <v>37109</v>
      </c>
      <c r="D22" s="87">
        <v>0.0868055555555555</v>
      </c>
      <c r="E22" s="86">
        <v>37109</v>
      </c>
      <c r="F22" s="87">
        <v>0.627777777777778</v>
      </c>
      <c r="G22" s="88">
        <v>50000</v>
      </c>
      <c r="H22" s="89">
        <v>49500</v>
      </c>
    </row>
    <row r="23" spans="1:8" ht="15">
      <c r="A23" s="84">
        <v>123463</v>
      </c>
      <c r="B23" s="85" t="s">
        <v>221</v>
      </c>
      <c r="C23" s="86">
        <v>37110</v>
      </c>
      <c r="D23" s="87">
        <v>0.0875</v>
      </c>
      <c r="E23" s="86">
        <v>37110</v>
      </c>
      <c r="F23" s="87">
        <v>0.628472222222222</v>
      </c>
      <c r="G23" s="88">
        <v>51000</v>
      </c>
      <c r="H23" s="89">
        <v>50500</v>
      </c>
    </row>
    <row r="24" spans="1:8" ht="15">
      <c r="A24" s="84">
        <v>123464</v>
      </c>
      <c r="B24" s="85" t="s">
        <v>222</v>
      </c>
      <c r="C24" s="86">
        <v>37111</v>
      </c>
      <c r="D24" s="87">
        <v>0.0881944444444444</v>
      </c>
      <c r="E24" s="86">
        <v>37111</v>
      </c>
      <c r="F24" s="87">
        <v>0.629166666666667</v>
      </c>
      <c r="G24" s="88">
        <v>52000</v>
      </c>
      <c r="H24" s="89">
        <v>51500</v>
      </c>
    </row>
    <row r="25" spans="1:8" ht="15">
      <c r="A25" s="84">
        <v>123465</v>
      </c>
      <c r="B25" s="85" t="s">
        <v>223</v>
      </c>
      <c r="C25" s="86">
        <v>37112</v>
      </c>
      <c r="D25" s="87">
        <v>0.0888888888888889</v>
      </c>
      <c r="E25" s="86">
        <v>37112</v>
      </c>
      <c r="F25" s="87">
        <v>0.629861111111111</v>
      </c>
      <c r="G25" s="88">
        <v>53000</v>
      </c>
      <c r="H25" s="89">
        <v>52500</v>
      </c>
    </row>
    <row r="26" spans="1:8" ht="15">
      <c r="A26" s="84">
        <v>123466</v>
      </c>
      <c r="B26" s="85" t="s">
        <v>224</v>
      </c>
      <c r="C26" s="86">
        <v>37113</v>
      </c>
      <c r="D26" s="87">
        <v>0.0895833333333333</v>
      </c>
      <c r="E26" s="86">
        <v>37113</v>
      </c>
      <c r="F26" s="87">
        <v>0.630555555555556</v>
      </c>
      <c r="G26" s="88">
        <v>54000</v>
      </c>
      <c r="H26" s="89">
        <v>53500</v>
      </c>
    </row>
    <row r="27" spans="1:8" ht="15">
      <c r="A27" s="84">
        <v>123467</v>
      </c>
      <c r="B27" s="85" t="s">
        <v>225</v>
      </c>
      <c r="C27" s="86">
        <v>37114</v>
      </c>
      <c r="D27" s="87">
        <v>0.0902777777777777</v>
      </c>
      <c r="E27" s="86">
        <v>37114</v>
      </c>
      <c r="F27" s="87">
        <v>0.63125</v>
      </c>
      <c r="G27" s="88">
        <v>55000</v>
      </c>
      <c r="H27" s="89">
        <v>54500</v>
      </c>
    </row>
    <row r="28" spans="1:8" ht="15">
      <c r="A28" s="84">
        <v>123468</v>
      </c>
      <c r="B28" s="85" t="s">
        <v>226</v>
      </c>
      <c r="C28" s="86">
        <v>37115</v>
      </c>
      <c r="D28" s="87">
        <v>0.0909722222222222</v>
      </c>
      <c r="E28" s="86">
        <v>37115</v>
      </c>
      <c r="F28" s="87">
        <v>0.631944444444444</v>
      </c>
      <c r="G28" s="88">
        <v>56000</v>
      </c>
      <c r="H28" s="89">
        <v>55500</v>
      </c>
    </row>
    <row r="29" spans="1:8" ht="15">
      <c r="A29" s="84">
        <v>123469</v>
      </c>
      <c r="B29" s="85" t="s">
        <v>227</v>
      </c>
      <c r="C29" s="86">
        <v>37116</v>
      </c>
      <c r="D29" s="87">
        <v>0.0916666666666666</v>
      </c>
      <c r="E29" s="86">
        <v>37116</v>
      </c>
      <c r="F29" s="87">
        <v>0.632638888888889</v>
      </c>
      <c r="G29" s="88">
        <v>57000</v>
      </c>
      <c r="H29" s="89">
        <v>56500</v>
      </c>
    </row>
    <row r="30" spans="1:8" ht="15">
      <c r="A30" s="84">
        <v>123470</v>
      </c>
      <c r="B30" s="85" t="s">
        <v>228</v>
      </c>
      <c r="C30" s="86">
        <v>37117</v>
      </c>
      <c r="D30" s="87">
        <v>0.0923611111111111</v>
      </c>
      <c r="E30" s="86">
        <v>37117</v>
      </c>
      <c r="F30" s="87">
        <v>0.633333333333333</v>
      </c>
      <c r="G30" s="88">
        <v>58000</v>
      </c>
      <c r="H30" s="89">
        <v>57500</v>
      </c>
    </row>
    <row r="31" spans="1:8" ht="15">
      <c r="A31" s="84">
        <v>123471</v>
      </c>
      <c r="B31" s="85" t="s">
        <v>229</v>
      </c>
      <c r="C31" s="86">
        <v>37118</v>
      </c>
      <c r="D31" s="87">
        <v>0.0930555555555555</v>
      </c>
      <c r="E31" s="86">
        <v>37118</v>
      </c>
      <c r="F31" s="87">
        <v>0.634027777777778</v>
      </c>
      <c r="G31" s="88">
        <v>59000</v>
      </c>
      <c r="H31" s="89">
        <v>58500</v>
      </c>
    </row>
    <row r="32" spans="1:8" ht="15">
      <c r="A32" s="84">
        <v>123472</v>
      </c>
      <c r="B32" s="85" t="s">
        <v>230</v>
      </c>
      <c r="C32" s="86">
        <v>37119</v>
      </c>
      <c r="D32" s="87">
        <v>0.09375</v>
      </c>
      <c r="E32" s="86">
        <v>37119</v>
      </c>
      <c r="F32" s="87">
        <v>0.634722222222222</v>
      </c>
      <c r="G32" s="88">
        <v>60000</v>
      </c>
      <c r="H32" s="89">
        <v>59500</v>
      </c>
    </row>
    <row r="33" spans="1:8" ht="15">
      <c r="A33" s="84">
        <v>123473</v>
      </c>
      <c r="B33" s="85" t="s">
        <v>231</v>
      </c>
      <c r="C33" s="86">
        <v>37120</v>
      </c>
      <c r="D33" s="87">
        <v>0.0944444444444444</v>
      </c>
      <c r="E33" s="86">
        <v>37120</v>
      </c>
      <c r="F33" s="87">
        <v>0.635416666666667</v>
      </c>
      <c r="G33" s="88">
        <v>61000</v>
      </c>
      <c r="H33" s="89">
        <v>60500</v>
      </c>
    </row>
    <row r="34" spans="1:8" ht="15">
      <c r="A34" s="84">
        <v>123474</v>
      </c>
      <c r="B34" s="85" t="s">
        <v>232</v>
      </c>
      <c r="C34" s="86">
        <v>37121</v>
      </c>
      <c r="D34" s="87">
        <v>0.0951388888888889</v>
      </c>
      <c r="E34" s="86">
        <v>37121</v>
      </c>
      <c r="F34" s="87">
        <v>0.636111111111111</v>
      </c>
      <c r="G34" s="88">
        <v>62000</v>
      </c>
      <c r="H34" s="89">
        <v>61500</v>
      </c>
    </row>
    <row r="35" spans="1:8" ht="15">
      <c r="A35" s="84">
        <v>123475</v>
      </c>
      <c r="B35" s="85" t="s">
        <v>233</v>
      </c>
      <c r="C35" s="86">
        <v>37122</v>
      </c>
      <c r="D35" s="87">
        <v>0.0958333333333333</v>
      </c>
      <c r="E35" s="86">
        <v>37122</v>
      </c>
      <c r="F35" s="87">
        <v>0.636805555555556</v>
      </c>
      <c r="G35" s="88">
        <v>63000</v>
      </c>
      <c r="H35" s="89">
        <v>62500</v>
      </c>
    </row>
    <row r="36" spans="1:8" ht="15">
      <c r="A36" s="84">
        <v>123476</v>
      </c>
      <c r="B36" s="85" t="s">
        <v>234</v>
      </c>
      <c r="C36" s="86">
        <v>37123</v>
      </c>
      <c r="D36" s="87">
        <v>0.0965277777777778</v>
      </c>
      <c r="E36" s="86">
        <v>37123</v>
      </c>
      <c r="F36" s="87">
        <v>0.6375</v>
      </c>
      <c r="G36" s="88">
        <v>64000</v>
      </c>
      <c r="H36" s="89">
        <v>63500</v>
      </c>
    </row>
    <row r="37" spans="1:8" ht="15">
      <c r="A37" s="84">
        <v>123477</v>
      </c>
      <c r="B37" s="85" t="s">
        <v>235</v>
      </c>
      <c r="C37" s="86">
        <v>37124</v>
      </c>
      <c r="D37" s="87">
        <v>0.0972222222222222</v>
      </c>
      <c r="E37" s="86">
        <v>37124</v>
      </c>
      <c r="F37" s="87">
        <v>0.638194444444444</v>
      </c>
      <c r="G37" s="88">
        <v>65000</v>
      </c>
      <c r="H37" s="89">
        <v>64500</v>
      </c>
    </row>
    <row r="38" spans="1:8" ht="15">
      <c r="A38" s="84">
        <v>123478</v>
      </c>
      <c r="B38" s="85" t="s">
        <v>236</v>
      </c>
      <c r="C38" s="86">
        <v>37125</v>
      </c>
      <c r="D38" s="87">
        <v>0.0979166666666666</v>
      </c>
      <c r="E38" s="86">
        <v>37125</v>
      </c>
      <c r="F38" s="87">
        <v>0.638888888888889</v>
      </c>
      <c r="G38" s="88">
        <v>66000</v>
      </c>
      <c r="H38" s="89">
        <v>65500</v>
      </c>
    </row>
    <row r="39" spans="1:8" ht="15">
      <c r="A39" s="84">
        <v>123479</v>
      </c>
      <c r="B39" s="85" t="s">
        <v>237</v>
      </c>
      <c r="C39" s="86">
        <v>37126</v>
      </c>
      <c r="D39" s="87">
        <v>0.0986111111111111</v>
      </c>
      <c r="E39" s="86">
        <v>37126</v>
      </c>
      <c r="F39" s="87">
        <v>0.639583333333333</v>
      </c>
      <c r="G39" s="88">
        <v>67000</v>
      </c>
      <c r="H39" s="89">
        <v>66500</v>
      </c>
    </row>
    <row r="40" spans="1:8" ht="15">
      <c r="A40" s="84">
        <v>123480</v>
      </c>
      <c r="B40" s="85" t="s">
        <v>238</v>
      </c>
      <c r="C40" s="86">
        <v>37127</v>
      </c>
      <c r="D40" s="87">
        <v>0.0993055555555555</v>
      </c>
      <c r="E40" s="86">
        <v>37127</v>
      </c>
      <c r="F40" s="87">
        <v>0.640277777777778</v>
      </c>
      <c r="G40" s="88">
        <v>68000</v>
      </c>
      <c r="H40" s="89">
        <v>67500</v>
      </c>
    </row>
    <row r="41" spans="1:8" ht="15">
      <c r="A41" s="84">
        <v>123481</v>
      </c>
      <c r="B41" s="85" t="s">
        <v>239</v>
      </c>
      <c r="C41" s="86">
        <v>37128</v>
      </c>
      <c r="D41" s="87">
        <v>0.1</v>
      </c>
      <c r="E41" s="86">
        <v>37128</v>
      </c>
      <c r="F41" s="87">
        <v>0.640972222222222</v>
      </c>
      <c r="G41" s="88">
        <v>69000</v>
      </c>
      <c r="H41" s="89">
        <v>68500</v>
      </c>
    </row>
    <row r="42" spans="1:8" ht="15">
      <c r="A42" s="115">
        <v>123482</v>
      </c>
      <c r="B42" s="116" t="s">
        <v>240</v>
      </c>
      <c r="C42" s="117">
        <v>37129</v>
      </c>
      <c r="D42" s="118">
        <v>0.100694444444444</v>
      </c>
      <c r="E42" s="117">
        <v>37129</v>
      </c>
      <c r="F42" s="118">
        <v>0.641666666666667</v>
      </c>
      <c r="G42" s="119">
        <v>70000</v>
      </c>
      <c r="H42" s="120">
        <v>69500</v>
      </c>
    </row>
    <row r="43" spans="1:8" ht="15">
      <c r="A43" s="84">
        <v>123456</v>
      </c>
      <c r="B43" s="85" t="s">
        <v>166</v>
      </c>
      <c r="C43" s="86">
        <v>37104</v>
      </c>
      <c r="D43" s="87">
        <v>0.043090277777777776</v>
      </c>
      <c r="E43" s="86">
        <v>37105</v>
      </c>
      <c r="F43" s="87">
        <v>0.5437615740740741</v>
      </c>
      <c r="G43" s="88">
        <v>45000</v>
      </c>
      <c r="H43" s="89">
        <v>45123</v>
      </c>
    </row>
    <row r="44" spans="1:8" ht="15">
      <c r="A44" s="84">
        <v>123457</v>
      </c>
      <c r="B44" s="85" t="s">
        <v>169</v>
      </c>
      <c r="C44" s="86">
        <v>37105</v>
      </c>
      <c r="D44" s="87">
        <v>0.08402777777777777</v>
      </c>
      <c r="E44" s="86">
        <v>37105</v>
      </c>
      <c r="F44" s="87">
        <v>0.625</v>
      </c>
      <c r="G44" s="88">
        <v>46000</v>
      </c>
      <c r="H44" s="89">
        <v>45500</v>
      </c>
    </row>
    <row r="45" spans="1:8" ht="15">
      <c r="A45" s="84">
        <v>123459</v>
      </c>
      <c r="B45" s="85" t="s">
        <v>166</v>
      </c>
      <c r="C45" s="86">
        <v>37106</v>
      </c>
      <c r="D45" s="87">
        <v>0.08472222222222221</v>
      </c>
      <c r="E45" s="86">
        <v>37106</v>
      </c>
      <c r="F45" s="87">
        <v>0.6256944444444444</v>
      </c>
      <c r="G45" s="88">
        <v>47000</v>
      </c>
      <c r="H45" s="89">
        <v>46500</v>
      </c>
    </row>
    <row r="46" spans="1:8" ht="15">
      <c r="A46" s="84">
        <v>123460</v>
      </c>
      <c r="B46" s="85" t="s">
        <v>169</v>
      </c>
      <c r="C46" s="86">
        <v>37107</v>
      </c>
      <c r="D46" s="87">
        <v>0.0854166666666667</v>
      </c>
      <c r="E46" s="86">
        <v>37107</v>
      </c>
      <c r="F46" s="87">
        <v>0.626388888888889</v>
      </c>
      <c r="G46" s="88">
        <v>48000</v>
      </c>
      <c r="H46" s="89">
        <v>47500</v>
      </c>
    </row>
    <row r="47" spans="1:8" ht="15">
      <c r="A47" s="84">
        <v>123461</v>
      </c>
      <c r="B47" s="85" t="s">
        <v>219</v>
      </c>
      <c r="C47" s="86">
        <v>37108</v>
      </c>
      <c r="D47" s="87">
        <v>0.0861111111111111</v>
      </c>
      <c r="E47" s="86">
        <v>37108</v>
      </c>
      <c r="F47" s="87">
        <v>0.627083333333333</v>
      </c>
      <c r="G47" s="88">
        <v>49000</v>
      </c>
      <c r="H47" s="89">
        <v>48500</v>
      </c>
    </row>
    <row r="48" spans="1:8" ht="15">
      <c r="A48" s="84">
        <v>123462</v>
      </c>
      <c r="B48" s="85" t="s">
        <v>220</v>
      </c>
      <c r="C48" s="86">
        <v>37109</v>
      </c>
      <c r="D48" s="87">
        <v>0.0868055555555555</v>
      </c>
      <c r="E48" s="86">
        <v>37109</v>
      </c>
      <c r="F48" s="87">
        <v>0.627777777777778</v>
      </c>
      <c r="G48" s="88">
        <v>50000</v>
      </c>
      <c r="H48" s="89">
        <v>49500</v>
      </c>
    </row>
    <row r="49" spans="1:8" ht="15">
      <c r="A49" s="84">
        <v>123463</v>
      </c>
      <c r="B49" s="85" t="s">
        <v>221</v>
      </c>
      <c r="C49" s="86">
        <v>37110</v>
      </c>
      <c r="D49" s="87">
        <v>0.0875</v>
      </c>
      <c r="E49" s="86">
        <v>37110</v>
      </c>
      <c r="F49" s="87">
        <v>0.628472222222222</v>
      </c>
      <c r="G49" s="88">
        <v>51000</v>
      </c>
      <c r="H49" s="89">
        <v>50500</v>
      </c>
    </row>
    <row r="50" spans="1:8" ht="15">
      <c r="A50" s="84">
        <v>123464</v>
      </c>
      <c r="B50" s="85" t="s">
        <v>222</v>
      </c>
      <c r="C50" s="86">
        <v>37111</v>
      </c>
      <c r="D50" s="87">
        <v>0.0881944444444444</v>
      </c>
      <c r="E50" s="86">
        <v>37111</v>
      </c>
      <c r="F50" s="87">
        <v>0.629166666666667</v>
      </c>
      <c r="G50" s="88">
        <v>52000</v>
      </c>
      <c r="H50" s="89">
        <v>51500</v>
      </c>
    </row>
    <row r="51" spans="1:8" ht="15.75" thickBot="1">
      <c r="A51" s="90">
        <v>123483</v>
      </c>
      <c r="B51" s="91" t="s">
        <v>241</v>
      </c>
      <c r="C51" s="113">
        <v>37130</v>
      </c>
      <c r="D51" s="114">
        <v>0.101388888888889</v>
      </c>
      <c r="E51" s="113">
        <v>37130</v>
      </c>
      <c r="F51" s="114">
        <v>0.642361111111111</v>
      </c>
      <c r="G51" s="92">
        <v>71000</v>
      </c>
      <c r="H51" s="93">
        <v>70500</v>
      </c>
    </row>
    <row r="52" ht="15.75" thickTop="1"/>
    <row r="53" spans="1:8" ht="15">
      <c r="A53" s="179" t="str">
        <f>A1</f>
        <v>REFINERY NAME</v>
      </c>
      <c r="B53" s="179"/>
      <c r="C53" s="180" t="s">
        <v>208</v>
      </c>
      <c r="D53" s="180"/>
      <c r="E53" s="180"/>
      <c r="F53" s="180"/>
      <c r="G53" s="180"/>
      <c r="H53" s="180"/>
    </row>
    <row r="54" spans="1:8" ht="15">
      <c r="A54" s="186" t="s">
        <v>207</v>
      </c>
      <c r="B54" s="186"/>
      <c r="C54" s="186"/>
      <c r="D54" s="186"/>
      <c r="E54" s="186"/>
      <c r="F54" s="186"/>
      <c r="G54" s="186"/>
      <c r="H54" s="186"/>
    </row>
    <row r="55" spans="7:8" ht="15">
      <c r="G55" s="195" t="s">
        <v>245</v>
      </c>
      <c r="H55" s="196"/>
    </row>
  </sheetData>
  <sheetProtection password="8BA1" sheet="1" objects="1" scenarios="1"/>
  <mergeCells count="15">
    <mergeCell ref="A54:H54"/>
    <mergeCell ref="G55:H55"/>
    <mergeCell ref="A6:H6"/>
    <mergeCell ref="A9:B9"/>
    <mergeCell ref="A53:B53"/>
    <mergeCell ref="C53:H53"/>
    <mergeCell ref="A8:B8"/>
    <mergeCell ref="C9:D9"/>
    <mergeCell ref="G9:H9"/>
    <mergeCell ref="B10:H10"/>
    <mergeCell ref="E9:F9"/>
    <mergeCell ref="A1:H1"/>
    <mergeCell ref="A2:H2"/>
    <mergeCell ref="A3:H3"/>
    <mergeCell ref="A5:H5"/>
  </mergeCells>
  <printOptions/>
  <pageMargins left="0.94" right="0.27" top="0.52" bottom="0.49" header="0.5" footer="0.5"/>
  <pageSetup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75" zoomScaleNormal="75" workbookViewId="0" topLeftCell="A32">
      <selection activeCell="C53" sqref="C53:H53"/>
    </sheetView>
  </sheetViews>
  <sheetFormatPr defaultColWidth="8.88671875" defaultRowHeight="15"/>
  <cols>
    <col min="1" max="1" width="11.21484375" style="0" customWidth="1"/>
    <col min="2" max="2" width="9.6640625" style="0" customWidth="1"/>
    <col min="3" max="3" width="10.99609375" style="0" customWidth="1"/>
    <col min="4" max="4" width="10.21484375" style="0" customWidth="1"/>
    <col min="5" max="5" width="10.99609375" style="0" customWidth="1"/>
    <col min="6" max="6" width="10.21484375" style="0" customWidth="1"/>
    <col min="7" max="8" width="10.99609375" style="0" customWidth="1"/>
  </cols>
  <sheetData>
    <row r="1" spans="1:8" ht="18">
      <c r="A1" s="158" t="s">
        <v>150</v>
      </c>
      <c r="B1" s="145"/>
      <c r="C1" s="145"/>
      <c r="D1" s="145"/>
      <c r="E1" s="145"/>
      <c r="F1" s="145"/>
      <c r="G1" s="145"/>
      <c r="H1" s="145"/>
    </row>
    <row r="2" spans="1:8" ht="15">
      <c r="A2" s="159" t="s">
        <v>160</v>
      </c>
      <c r="B2" s="145"/>
      <c r="C2" s="145"/>
      <c r="D2" s="145"/>
      <c r="E2" s="145"/>
      <c r="F2" s="145"/>
      <c r="G2" s="145"/>
      <c r="H2" s="145"/>
    </row>
    <row r="3" spans="1:8" ht="15">
      <c r="A3" s="159" t="s">
        <v>152</v>
      </c>
      <c r="B3" s="145"/>
      <c r="C3" s="145"/>
      <c r="D3" s="145"/>
      <c r="E3" s="145"/>
      <c r="F3" s="145"/>
      <c r="G3" s="145"/>
      <c r="H3" s="145"/>
    </row>
    <row r="5" spans="1:8" ht="18">
      <c r="A5" s="193" t="s">
        <v>242</v>
      </c>
      <c r="B5" s="194"/>
      <c r="C5" s="194"/>
      <c r="D5" s="194"/>
      <c r="E5" s="194"/>
      <c r="F5" s="194"/>
      <c r="G5" s="155"/>
      <c r="H5" s="155"/>
    </row>
    <row r="6" spans="1:8" ht="18">
      <c r="A6" s="158" t="s">
        <v>153</v>
      </c>
      <c r="B6" s="158"/>
      <c r="C6" s="158"/>
      <c r="D6" s="158"/>
      <c r="E6" s="158"/>
      <c r="F6" s="158"/>
      <c r="G6" s="197"/>
      <c r="H6" s="197"/>
    </row>
    <row r="8" spans="1:6" ht="15">
      <c r="A8" s="151"/>
      <c r="B8" s="155"/>
      <c r="C8" s="29"/>
      <c r="D8" s="29"/>
      <c r="E8" s="29"/>
      <c r="F8" s="29"/>
    </row>
    <row r="9" spans="1:8" ht="15">
      <c r="A9" s="198" t="s">
        <v>122</v>
      </c>
      <c r="B9" s="155"/>
      <c r="C9" s="152"/>
      <c r="D9" s="152"/>
      <c r="E9" s="154" t="s">
        <v>200</v>
      </c>
      <c r="F9" s="154"/>
      <c r="G9" s="152"/>
      <c r="H9" s="199"/>
    </row>
    <row r="10" spans="1:8" ht="15">
      <c r="A10" s="32" t="s">
        <v>136</v>
      </c>
      <c r="B10" s="153"/>
      <c r="C10" s="153"/>
      <c r="D10" s="153"/>
      <c r="E10" s="153"/>
      <c r="F10" s="153"/>
      <c r="G10" s="153"/>
      <c r="H10" s="153"/>
    </row>
    <row r="11" spans="1:6" ht="15">
      <c r="A11" s="32"/>
      <c r="B11" s="52"/>
      <c r="C11" s="33"/>
      <c r="D11" s="33"/>
      <c r="E11" s="32"/>
      <c r="F11" s="32"/>
    </row>
    <row r="12" spans="1:7" ht="15">
      <c r="A12" s="29" t="s">
        <v>146</v>
      </c>
      <c r="B12" s="72"/>
      <c r="C12" s="66" t="str">
        <f>'DAL Batch (Report)'!B14</f>
        <v>01700</v>
      </c>
      <c r="E12" s="69"/>
      <c r="F12" s="34" t="s">
        <v>196</v>
      </c>
      <c r="G12" s="71" t="str">
        <f>'PM for DAL (Report)'!F14</f>
        <v>BB-110</v>
      </c>
    </row>
    <row r="13" ht="15.75" thickBot="1"/>
    <row r="14" spans="1:8" ht="15.75" thickTop="1">
      <c r="A14" s="57" t="s">
        <v>172</v>
      </c>
      <c r="B14" s="57" t="s">
        <v>158</v>
      </c>
      <c r="C14" s="57" t="s">
        <v>174</v>
      </c>
      <c r="D14" s="57" t="s">
        <v>172</v>
      </c>
      <c r="E14" s="57" t="s">
        <v>175</v>
      </c>
      <c r="F14" s="57" t="s">
        <v>175</v>
      </c>
      <c r="G14" s="57" t="s">
        <v>155</v>
      </c>
      <c r="H14" s="57" t="s">
        <v>157</v>
      </c>
    </row>
    <row r="15" spans="1:8" ht="15">
      <c r="A15" s="60" t="s">
        <v>159</v>
      </c>
      <c r="B15" s="60" t="s">
        <v>159</v>
      </c>
      <c r="C15" s="60" t="s">
        <v>173</v>
      </c>
      <c r="D15" s="60" t="s">
        <v>173</v>
      </c>
      <c r="E15" s="60" t="s">
        <v>176</v>
      </c>
      <c r="F15" s="60" t="s">
        <v>177</v>
      </c>
      <c r="G15" s="60" t="s">
        <v>156</v>
      </c>
      <c r="H15" s="60" t="s">
        <v>156</v>
      </c>
    </row>
    <row r="16" spans="1:8" ht="15.75" thickBot="1">
      <c r="A16" s="59"/>
      <c r="B16" s="58"/>
      <c r="C16" s="59" t="s">
        <v>154</v>
      </c>
      <c r="D16" s="59" t="s">
        <v>167</v>
      </c>
      <c r="E16" s="59" t="s">
        <v>154</v>
      </c>
      <c r="F16" s="59" t="s">
        <v>167</v>
      </c>
      <c r="G16" s="59" t="s">
        <v>168</v>
      </c>
      <c r="H16" s="59" t="s">
        <v>168</v>
      </c>
    </row>
    <row r="17" spans="1:8" ht="15.75" thickTop="1">
      <c r="A17" s="78">
        <v>200001</v>
      </c>
      <c r="B17" s="79" t="s">
        <v>166</v>
      </c>
      <c r="C17" s="80">
        <v>37104</v>
      </c>
      <c r="D17" s="81">
        <v>0.043090277777777776</v>
      </c>
      <c r="E17" s="80">
        <v>37105</v>
      </c>
      <c r="F17" s="81">
        <v>0.5437615740740741</v>
      </c>
      <c r="G17" s="82">
        <v>45000</v>
      </c>
      <c r="H17" s="83">
        <v>45123</v>
      </c>
    </row>
    <row r="18" spans="1:8" ht="15">
      <c r="A18" s="84">
        <v>200002</v>
      </c>
      <c r="B18" s="85" t="s">
        <v>169</v>
      </c>
      <c r="C18" s="86">
        <v>37105</v>
      </c>
      <c r="D18" s="87">
        <v>0.08402777777777777</v>
      </c>
      <c r="E18" s="86">
        <v>37105</v>
      </c>
      <c r="F18" s="87">
        <v>0.12569444444444444</v>
      </c>
      <c r="G18" s="88">
        <v>46000</v>
      </c>
      <c r="H18" s="89">
        <v>47124</v>
      </c>
    </row>
    <row r="19" spans="1:8" ht="15">
      <c r="A19" s="84">
        <v>200003</v>
      </c>
      <c r="B19" s="85" t="s">
        <v>166</v>
      </c>
      <c r="C19" s="86">
        <v>37106</v>
      </c>
      <c r="D19" s="87">
        <v>0.12569444444444444</v>
      </c>
      <c r="E19" s="86">
        <v>37106</v>
      </c>
      <c r="F19" s="87">
        <v>0.6256944444444444</v>
      </c>
      <c r="G19" s="88">
        <v>48000</v>
      </c>
      <c r="H19" s="89">
        <v>51001</v>
      </c>
    </row>
    <row r="20" spans="1:8" ht="15">
      <c r="A20" s="84">
        <v>123471</v>
      </c>
      <c r="B20" s="85" t="s">
        <v>229</v>
      </c>
      <c r="C20" s="86">
        <v>37118</v>
      </c>
      <c r="D20" s="87">
        <v>0.0930555555555555</v>
      </c>
      <c r="E20" s="86">
        <v>37118</v>
      </c>
      <c r="F20" s="87">
        <v>0.634027777777778</v>
      </c>
      <c r="G20" s="88">
        <v>59000</v>
      </c>
      <c r="H20" s="89">
        <v>58500</v>
      </c>
    </row>
    <row r="21" spans="1:8" ht="15">
      <c r="A21" s="84">
        <v>123472</v>
      </c>
      <c r="B21" s="85" t="s">
        <v>230</v>
      </c>
      <c r="C21" s="86">
        <v>37119</v>
      </c>
      <c r="D21" s="87">
        <v>0.09375</v>
      </c>
      <c r="E21" s="86">
        <v>37119</v>
      </c>
      <c r="F21" s="87">
        <v>0.634722222222222</v>
      </c>
      <c r="G21" s="88">
        <v>60000</v>
      </c>
      <c r="H21" s="89">
        <v>59500</v>
      </c>
    </row>
    <row r="22" spans="1:8" ht="15">
      <c r="A22" s="84">
        <v>123473</v>
      </c>
      <c r="B22" s="85" t="s">
        <v>231</v>
      </c>
      <c r="C22" s="86">
        <v>37120</v>
      </c>
      <c r="D22" s="87">
        <v>0.0944444444444444</v>
      </c>
      <c r="E22" s="86">
        <v>37120</v>
      </c>
      <c r="F22" s="87">
        <v>0.635416666666667</v>
      </c>
      <c r="G22" s="88">
        <v>61000</v>
      </c>
      <c r="H22" s="89">
        <v>60500</v>
      </c>
    </row>
    <row r="23" spans="1:8" ht="15">
      <c r="A23" s="84">
        <v>123474</v>
      </c>
      <c r="B23" s="85" t="s">
        <v>232</v>
      </c>
      <c r="C23" s="86">
        <v>37121</v>
      </c>
      <c r="D23" s="87">
        <v>0.0951388888888889</v>
      </c>
      <c r="E23" s="86">
        <v>37121</v>
      </c>
      <c r="F23" s="87">
        <v>0.636111111111111</v>
      </c>
      <c r="G23" s="88">
        <v>62000</v>
      </c>
      <c r="H23" s="89">
        <v>61500</v>
      </c>
    </row>
    <row r="24" spans="1:8" ht="15">
      <c r="A24" s="84">
        <v>123475</v>
      </c>
      <c r="B24" s="85" t="s">
        <v>233</v>
      </c>
      <c r="C24" s="86">
        <v>37122</v>
      </c>
      <c r="D24" s="87">
        <v>0.0958333333333333</v>
      </c>
      <c r="E24" s="86">
        <v>37122</v>
      </c>
      <c r="F24" s="87">
        <v>0.636805555555556</v>
      </c>
      <c r="G24" s="88">
        <v>63000</v>
      </c>
      <c r="H24" s="89">
        <v>62500</v>
      </c>
    </row>
    <row r="25" spans="1:8" ht="15">
      <c r="A25" s="84">
        <v>123476</v>
      </c>
      <c r="B25" s="85" t="s">
        <v>234</v>
      </c>
      <c r="C25" s="86">
        <v>37123</v>
      </c>
      <c r="D25" s="87">
        <v>0.0965277777777778</v>
      </c>
      <c r="E25" s="86">
        <v>37123</v>
      </c>
      <c r="F25" s="87">
        <v>0.6375</v>
      </c>
      <c r="G25" s="88">
        <v>64000</v>
      </c>
      <c r="H25" s="89">
        <v>63500</v>
      </c>
    </row>
    <row r="26" spans="1:8" ht="15">
      <c r="A26" s="84">
        <v>123477</v>
      </c>
      <c r="B26" s="85" t="s">
        <v>235</v>
      </c>
      <c r="C26" s="86">
        <v>37124</v>
      </c>
      <c r="D26" s="87">
        <v>0.0972222222222222</v>
      </c>
      <c r="E26" s="86">
        <v>37124</v>
      </c>
      <c r="F26" s="87">
        <v>0.638194444444444</v>
      </c>
      <c r="G26" s="88">
        <v>65000</v>
      </c>
      <c r="H26" s="89">
        <v>64500</v>
      </c>
    </row>
    <row r="27" spans="1:8" ht="15">
      <c r="A27" s="84">
        <v>123478</v>
      </c>
      <c r="B27" s="85" t="s">
        <v>236</v>
      </c>
      <c r="C27" s="86">
        <v>37125</v>
      </c>
      <c r="D27" s="87">
        <v>0.0979166666666666</v>
      </c>
      <c r="E27" s="86">
        <v>37125</v>
      </c>
      <c r="F27" s="87">
        <v>0.638888888888889</v>
      </c>
      <c r="G27" s="88">
        <v>66000</v>
      </c>
      <c r="H27" s="89">
        <v>65500</v>
      </c>
    </row>
    <row r="28" spans="1:8" ht="15">
      <c r="A28" s="84">
        <v>123479</v>
      </c>
      <c r="B28" s="85" t="s">
        <v>237</v>
      </c>
      <c r="C28" s="86">
        <v>37126</v>
      </c>
      <c r="D28" s="87">
        <v>0.0986111111111111</v>
      </c>
      <c r="E28" s="86">
        <v>37126</v>
      </c>
      <c r="F28" s="87">
        <v>0.639583333333333</v>
      </c>
      <c r="G28" s="88">
        <v>67000</v>
      </c>
      <c r="H28" s="89">
        <v>66500</v>
      </c>
    </row>
    <row r="29" spans="1:8" ht="15">
      <c r="A29" s="84">
        <v>123480</v>
      </c>
      <c r="B29" s="85" t="s">
        <v>238</v>
      </c>
      <c r="C29" s="86">
        <v>37127</v>
      </c>
      <c r="D29" s="87">
        <v>0.0993055555555555</v>
      </c>
      <c r="E29" s="86">
        <v>37127</v>
      </c>
      <c r="F29" s="87">
        <v>0.640277777777778</v>
      </c>
      <c r="G29" s="88">
        <v>68000</v>
      </c>
      <c r="H29" s="89">
        <v>67500</v>
      </c>
    </row>
    <row r="30" spans="1:8" ht="15">
      <c r="A30" s="84">
        <v>123481</v>
      </c>
      <c r="B30" s="85" t="s">
        <v>239</v>
      </c>
      <c r="C30" s="86">
        <v>37128</v>
      </c>
      <c r="D30" s="87">
        <v>0.1</v>
      </c>
      <c r="E30" s="86">
        <v>37128</v>
      </c>
      <c r="F30" s="87">
        <v>0.640972222222222</v>
      </c>
      <c r="G30" s="88">
        <v>69000</v>
      </c>
      <c r="H30" s="89">
        <v>68500</v>
      </c>
    </row>
    <row r="31" spans="1:8" ht="15">
      <c r="A31" s="115">
        <v>123482</v>
      </c>
      <c r="B31" s="116" t="s">
        <v>240</v>
      </c>
      <c r="C31" s="117">
        <v>37129</v>
      </c>
      <c r="D31" s="118">
        <v>0.100694444444444</v>
      </c>
      <c r="E31" s="117">
        <v>37129</v>
      </c>
      <c r="F31" s="118">
        <v>0.641666666666667</v>
      </c>
      <c r="G31" s="119">
        <v>70000</v>
      </c>
      <c r="H31" s="120">
        <v>69500</v>
      </c>
    </row>
    <row r="32" spans="1:8" ht="15">
      <c r="A32" s="84">
        <v>123456</v>
      </c>
      <c r="B32" s="85" t="s">
        <v>166</v>
      </c>
      <c r="C32" s="86">
        <v>37104</v>
      </c>
      <c r="D32" s="87">
        <v>0.043090277777777776</v>
      </c>
      <c r="E32" s="86">
        <v>37105</v>
      </c>
      <c r="F32" s="87">
        <v>0.5437615740740741</v>
      </c>
      <c r="G32" s="88">
        <v>45000</v>
      </c>
      <c r="H32" s="89">
        <v>45123</v>
      </c>
    </row>
    <row r="33" spans="1:8" ht="15">
      <c r="A33" s="84">
        <v>123457</v>
      </c>
      <c r="B33" s="85" t="s">
        <v>169</v>
      </c>
      <c r="C33" s="86">
        <v>37105</v>
      </c>
      <c r="D33" s="87">
        <v>0.08402777777777777</v>
      </c>
      <c r="E33" s="86">
        <v>37105</v>
      </c>
      <c r="F33" s="87">
        <v>0.625</v>
      </c>
      <c r="G33" s="88">
        <v>46000</v>
      </c>
      <c r="H33" s="89">
        <v>45500</v>
      </c>
    </row>
    <row r="34" spans="1:8" ht="15">
      <c r="A34" s="84">
        <v>123459</v>
      </c>
      <c r="B34" s="85" t="s">
        <v>166</v>
      </c>
      <c r="C34" s="86">
        <v>37106</v>
      </c>
      <c r="D34" s="87">
        <v>0.08472222222222221</v>
      </c>
      <c r="E34" s="86">
        <v>37106</v>
      </c>
      <c r="F34" s="87">
        <v>0.6256944444444444</v>
      </c>
      <c r="G34" s="88">
        <v>47000</v>
      </c>
      <c r="H34" s="89">
        <v>46500</v>
      </c>
    </row>
    <row r="35" spans="1:8" ht="15">
      <c r="A35" s="84">
        <v>123460</v>
      </c>
      <c r="B35" s="85" t="s">
        <v>169</v>
      </c>
      <c r="C35" s="86">
        <v>37107</v>
      </c>
      <c r="D35" s="87">
        <v>0.0854166666666667</v>
      </c>
      <c r="E35" s="86">
        <v>37107</v>
      </c>
      <c r="F35" s="87">
        <v>0.626388888888889</v>
      </c>
      <c r="G35" s="88">
        <v>48000</v>
      </c>
      <c r="H35" s="89">
        <v>47500</v>
      </c>
    </row>
    <row r="36" spans="1:8" ht="15">
      <c r="A36" s="84">
        <v>123461</v>
      </c>
      <c r="B36" s="85" t="s">
        <v>219</v>
      </c>
      <c r="C36" s="86">
        <v>37108</v>
      </c>
      <c r="D36" s="87">
        <v>0.0861111111111111</v>
      </c>
      <c r="E36" s="86">
        <v>37108</v>
      </c>
      <c r="F36" s="87">
        <v>0.627083333333333</v>
      </c>
      <c r="G36" s="88">
        <v>49000</v>
      </c>
      <c r="H36" s="89">
        <v>48500</v>
      </c>
    </row>
    <row r="37" spans="1:8" ht="15">
      <c r="A37" s="84">
        <v>123462</v>
      </c>
      <c r="B37" s="85" t="s">
        <v>220</v>
      </c>
      <c r="C37" s="86">
        <v>37109</v>
      </c>
      <c r="D37" s="87">
        <v>0.0868055555555555</v>
      </c>
      <c r="E37" s="86">
        <v>37109</v>
      </c>
      <c r="F37" s="87">
        <v>0.627777777777778</v>
      </c>
      <c r="G37" s="88">
        <v>50000</v>
      </c>
      <c r="H37" s="89">
        <v>49500</v>
      </c>
    </row>
    <row r="38" spans="1:8" ht="15">
      <c r="A38" s="84">
        <v>123473</v>
      </c>
      <c r="B38" s="85" t="s">
        <v>231</v>
      </c>
      <c r="C38" s="86">
        <v>37120</v>
      </c>
      <c r="D38" s="87">
        <v>0.0944444444444444</v>
      </c>
      <c r="E38" s="86">
        <v>37120</v>
      </c>
      <c r="F38" s="87">
        <v>0.635416666666667</v>
      </c>
      <c r="G38" s="88">
        <v>61000</v>
      </c>
      <c r="H38" s="89">
        <v>60500</v>
      </c>
    </row>
    <row r="39" spans="1:8" ht="15">
      <c r="A39" s="84">
        <v>123474</v>
      </c>
      <c r="B39" s="85" t="s">
        <v>232</v>
      </c>
      <c r="C39" s="86">
        <v>37121</v>
      </c>
      <c r="D39" s="87">
        <v>0.0951388888888889</v>
      </c>
      <c r="E39" s="86">
        <v>37121</v>
      </c>
      <c r="F39" s="87">
        <v>0.636111111111111</v>
      </c>
      <c r="G39" s="88">
        <v>62000</v>
      </c>
      <c r="H39" s="89">
        <v>61500</v>
      </c>
    </row>
    <row r="40" spans="1:8" ht="15">
      <c r="A40" s="84">
        <v>123475</v>
      </c>
      <c r="B40" s="85" t="s">
        <v>233</v>
      </c>
      <c r="C40" s="86">
        <v>37122</v>
      </c>
      <c r="D40" s="87">
        <v>0.0958333333333333</v>
      </c>
      <c r="E40" s="86">
        <v>37122</v>
      </c>
      <c r="F40" s="87">
        <v>0.636805555555556</v>
      </c>
      <c r="G40" s="88">
        <v>63000</v>
      </c>
      <c r="H40" s="89">
        <v>62500</v>
      </c>
    </row>
    <row r="41" spans="1:8" ht="15">
      <c r="A41" s="84">
        <v>123476</v>
      </c>
      <c r="B41" s="85" t="s">
        <v>234</v>
      </c>
      <c r="C41" s="86">
        <v>37123</v>
      </c>
      <c r="D41" s="87">
        <v>0.0965277777777778</v>
      </c>
      <c r="E41" s="86">
        <v>37123</v>
      </c>
      <c r="F41" s="87">
        <v>0.6375</v>
      </c>
      <c r="G41" s="88">
        <v>64000</v>
      </c>
      <c r="H41" s="89">
        <v>63500</v>
      </c>
    </row>
    <row r="42" spans="1:8" ht="15">
      <c r="A42" s="84">
        <v>123477</v>
      </c>
      <c r="B42" s="85" t="s">
        <v>235</v>
      </c>
      <c r="C42" s="86">
        <v>37124</v>
      </c>
      <c r="D42" s="87">
        <v>0.0972222222222222</v>
      </c>
      <c r="E42" s="86">
        <v>37124</v>
      </c>
      <c r="F42" s="87">
        <v>0.638194444444444</v>
      </c>
      <c r="G42" s="88">
        <v>65000</v>
      </c>
      <c r="H42" s="89">
        <v>64500</v>
      </c>
    </row>
    <row r="43" spans="1:8" ht="15">
      <c r="A43" s="84">
        <v>123478</v>
      </c>
      <c r="B43" s="85" t="s">
        <v>236</v>
      </c>
      <c r="C43" s="86">
        <v>37125</v>
      </c>
      <c r="D43" s="87">
        <v>0.0979166666666666</v>
      </c>
      <c r="E43" s="86">
        <v>37125</v>
      </c>
      <c r="F43" s="87">
        <v>0.638888888888889</v>
      </c>
      <c r="G43" s="88">
        <v>66000</v>
      </c>
      <c r="H43" s="89">
        <v>65500</v>
      </c>
    </row>
    <row r="44" spans="1:8" ht="15">
      <c r="A44" s="84">
        <v>123479</v>
      </c>
      <c r="B44" s="85" t="s">
        <v>237</v>
      </c>
      <c r="C44" s="86">
        <v>37126</v>
      </c>
      <c r="D44" s="87">
        <v>0.0986111111111111</v>
      </c>
      <c r="E44" s="86">
        <v>37126</v>
      </c>
      <c r="F44" s="87">
        <v>0.639583333333333</v>
      </c>
      <c r="G44" s="88">
        <v>67000</v>
      </c>
      <c r="H44" s="89">
        <v>66500</v>
      </c>
    </row>
    <row r="45" spans="1:8" ht="15">
      <c r="A45" s="84">
        <v>123480</v>
      </c>
      <c r="B45" s="85" t="s">
        <v>238</v>
      </c>
      <c r="C45" s="86">
        <v>37127</v>
      </c>
      <c r="D45" s="87">
        <v>0.0993055555555555</v>
      </c>
      <c r="E45" s="86">
        <v>37127</v>
      </c>
      <c r="F45" s="87">
        <v>0.640277777777778</v>
      </c>
      <c r="G45" s="88">
        <v>68000</v>
      </c>
      <c r="H45" s="89">
        <v>67500</v>
      </c>
    </row>
    <row r="46" spans="1:8" ht="15">
      <c r="A46" s="84">
        <v>123481</v>
      </c>
      <c r="B46" s="85" t="s">
        <v>239</v>
      </c>
      <c r="C46" s="86">
        <v>37128</v>
      </c>
      <c r="D46" s="87">
        <v>0.1</v>
      </c>
      <c r="E46" s="86">
        <v>37128</v>
      </c>
      <c r="F46" s="87">
        <v>0.640972222222222</v>
      </c>
      <c r="G46" s="88">
        <v>69000</v>
      </c>
      <c r="H46" s="89">
        <v>68500</v>
      </c>
    </row>
    <row r="47" spans="1:8" ht="15">
      <c r="A47" s="115">
        <v>123482</v>
      </c>
      <c r="B47" s="116" t="s">
        <v>240</v>
      </c>
      <c r="C47" s="117">
        <v>37129</v>
      </c>
      <c r="D47" s="118">
        <v>0.100694444444444</v>
      </c>
      <c r="E47" s="117">
        <v>37129</v>
      </c>
      <c r="F47" s="118">
        <v>0.641666666666667</v>
      </c>
      <c r="G47" s="119">
        <v>70000</v>
      </c>
      <c r="H47" s="120">
        <v>69500</v>
      </c>
    </row>
    <row r="48" spans="1:8" ht="15">
      <c r="A48" s="84">
        <v>123456</v>
      </c>
      <c r="B48" s="85" t="s">
        <v>166</v>
      </c>
      <c r="C48" s="86">
        <v>37104</v>
      </c>
      <c r="D48" s="87">
        <v>0.043090277777777776</v>
      </c>
      <c r="E48" s="86">
        <v>37105</v>
      </c>
      <c r="F48" s="87">
        <v>0.5437615740740741</v>
      </c>
      <c r="G48" s="88">
        <v>45000</v>
      </c>
      <c r="H48" s="89">
        <v>45123</v>
      </c>
    </row>
    <row r="49" spans="1:8" ht="15">
      <c r="A49" s="84">
        <v>123457</v>
      </c>
      <c r="B49" s="85" t="s">
        <v>169</v>
      </c>
      <c r="C49" s="86">
        <v>37105</v>
      </c>
      <c r="D49" s="87">
        <v>0.08402777777777777</v>
      </c>
      <c r="E49" s="86">
        <v>37105</v>
      </c>
      <c r="F49" s="87">
        <v>0.625</v>
      </c>
      <c r="G49" s="88">
        <v>46000</v>
      </c>
      <c r="H49" s="89">
        <v>45500</v>
      </c>
    </row>
    <row r="50" spans="1:8" ht="15">
      <c r="A50" s="84">
        <v>123459</v>
      </c>
      <c r="B50" s="85" t="s">
        <v>166</v>
      </c>
      <c r="C50" s="86">
        <v>37106</v>
      </c>
      <c r="D50" s="87">
        <v>0.08472222222222221</v>
      </c>
      <c r="E50" s="86">
        <v>37106</v>
      </c>
      <c r="F50" s="87">
        <v>0.6256944444444444</v>
      </c>
      <c r="G50" s="88">
        <v>47000</v>
      </c>
      <c r="H50" s="89">
        <v>46500</v>
      </c>
    </row>
    <row r="51" spans="1:8" ht="15">
      <c r="A51" s="84">
        <v>123460</v>
      </c>
      <c r="B51" s="85" t="s">
        <v>169</v>
      </c>
      <c r="C51" s="86">
        <v>37107</v>
      </c>
      <c r="D51" s="87">
        <v>0.0854166666666667</v>
      </c>
      <c r="E51" s="86">
        <v>37107</v>
      </c>
      <c r="F51" s="87">
        <v>0.626388888888889</v>
      </c>
      <c r="G51" s="88">
        <v>48000</v>
      </c>
      <c r="H51" s="89">
        <v>47500</v>
      </c>
    </row>
    <row r="53" spans="1:8" ht="15">
      <c r="A53" s="179" t="str">
        <f>A1</f>
        <v>REFINERY NAME</v>
      </c>
      <c r="B53" s="179"/>
      <c r="C53" s="180" t="s">
        <v>208</v>
      </c>
      <c r="D53" s="180"/>
      <c r="E53" s="180"/>
      <c r="F53" s="180"/>
      <c r="G53" s="180"/>
      <c r="H53" s="180"/>
    </row>
    <row r="54" spans="1:8" ht="15">
      <c r="A54" s="186" t="s">
        <v>207</v>
      </c>
      <c r="B54" s="186"/>
      <c r="C54" s="186"/>
      <c r="D54" s="186"/>
      <c r="E54" s="186"/>
      <c r="F54" s="186"/>
      <c r="G54" s="186"/>
      <c r="H54" s="186"/>
    </row>
    <row r="55" spans="7:8" ht="15">
      <c r="G55" s="195" t="s">
        <v>245</v>
      </c>
      <c r="H55" s="196"/>
    </row>
  </sheetData>
  <sheetProtection password="8A27" sheet="1" objects="1" scenarios="1"/>
  <mergeCells count="15">
    <mergeCell ref="A54:H54"/>
    <mergeCell ref="G55:H55"/>
    <mergeCell ref="A1:H1"/>
    <mergeCell ref="A2:H2"/>
    <mergeCell ref="A3:H3"/>
    <mergeCell ref="A5:H5"/>
    <mergeCell ref="A6:H6"/>
    <mergeCell ref="A8:B8"/>
    <mergeCell ref="A9:B9"/>
    <mergeCell ref="C9:D9"/>
    <mergeCell ref="G9:H9"/>
    <mergeCell ref="B10:H10"/>
    <mergeCell ref="A53:B53"/>
    <mergeCell ref="C53:H53"/>
    <mergeCell ref="E9:F9"/>
  </mergeCells>
  <printOptions/>
  <pageMargins left="0.89" right="0.43" top="0.52" bottom="0.54" header="0.5" footer="0.5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0"/>
  <sheetViews>
    <sheetView zoomScale="75" zoomScaleNormal="75" workbookViewId="0" topLeftCell="A46">
      <selection activeCell="D60" sqref="D60"/>
    </sheetView>
  </sheetViews>
  <sheetFormatPr defaultColWidth="8.88671875" defaultRowHeight="15"/>
  <cols>
    <col min="3" max="4" width="15.6640625" style="0" bestFit="1" customWidth="1"/>
  </cols>
  <sheetData>
    <row r="1" spans="1:5" ht="15">
      <c r="A1" s="29" t="s">
        <v>165</v>
      </c>
      <c r="B1" s="29"/>
      <c r="C1" s="29"/>
      <c r="D1" s="29"/>
      <c r="E1" s="29"/>
    </row>
    <row r="2" spans="1:5" ht="15">
      <c r="A2" s="29" t="str">
        <f>IF('DAL Monthly (Report) Page 1'!A17&lt;&gt;"",'DAL Monthly (Report) Page 1'!C$12,"")</f>
        <v>01700</v>
      </c>
      <c r="B2" s="29">
        <f>IF('DAL Monthly (Report) Page 1'!A17&lt;&gt;"",'DAL Monthly (Report) Page 1'!A17,"")</f>
        <v>123456</v>
      </c>
      <c r="C2" s="29" t="str">
        <f>IF('DAL Monthly (Report) Page 1'!A17&lt;&gt;"",TEXT('DAL Monthly (Report) Page 1'!C17,"mmddyyyy")&amp;TEXT('DAL Monthly (Report) Page 1'!D17,"hhmmss"),"")</f>
        <v>08012001010203</v>
      </c>
      <c r="D2" s="29" t="str">
        <f>IF('DAL Monthly (Report) Page 1'!A17&lt;&gt;"",TEXT('DAL Monthly (Report) Page 1'!E17,"mmddyyyy")&amp;TEXT('DAL Monthly (Report) Page 1'!F17,"hhmmss"),"")</f>
        <v>08022001130301</v>
      </c>
      <c r="E2" s="29">
        <f>IF('DAL Monthly (Report) Page 1'!A17&lt;&gt;"",'DAL Monthly (Report) Page 1'!H17,"")</f>
        <v>45123</v>
      </c>
    </row>
    <row r="3" spans="1:5" ht="15">
      <c r="A3" s="29" t="str">
        <f>IF('DAL Monthly (Report) Page 1'!A18&lt;&gt;"",'DAL Monthly (Report) Page 1'!C$12,"")</f>
        <v>01700</v>
      </c>
      <c r="B3" s="29">
        <f>IF('DAL Monthly (Report) Page 1'!A18&lt;&gt;"",'DAL Monthly (Report) Page 1'!A18,"")</f>
        <v>123457</v>
      </c>
      <c r="C3" s="29" t="str">
        <f>IF('DAL Monthly (Report) Page 1'!A18&lt;&gt;"",TEXT('DAL Monthly (Report) Page 1'!C18,"mmddyyyy")&amp;TEXT('DAL Monthly (Report) Page 1'!D18,"hhmmss"),"")</f>
        <v>08022001020100</v>
      </c>
      <c r="D3" s="29" t="str">
        <f>IF('DAL Monthly (Report) Page 1'!A18&lt;&gt;"",TEXT('DAL Monthly (Report) Page 1'!E18,"mmddyyyy")&amp;TEXT('DAL Monthly (Report) Page 1'!F18,"hhmmss"),"")</f>
        <v>08022001150000</v>
      </c>
      <c r="E3" s="29">
        <f>IF('DAL Monthly (Report) Page 1'!A18&lt;&gt;"",'DAL Monthly (Report) Page 1'!H18,"")</f>
        <v>45500</v>
      </c>
    </row>
    <row r="4" spans="1:5" ht="15">
      <c r="A4" s="29" t="str">
        <f>IF('DAL Monthly (Report) Page 1'!A19&lt;&gt;"",'DAL Monthly (Report) Page 1'!C$12,"")</f>
        <v>01700</v>
      </c>
      <c r="B4" s="29">
        <f>IF('DAL Monthly (Report) Page 1'!A19&lt;&gt;"",'DAL Monthly (Report) Page 1'!A19,"")</f>
        <v>123459</v>
      </c>
      <c r="C4" s="29" t="str">
        <f>IF('DAL Monthly (Report) Page 1'!A19&lt;&gt;"",TEXT('DAL Monthly (Report) Page 1'!C19,"mmddyyyy")&amp;TEXT('DAL Monthly (Report) Page 1'!D19,"hhmmss"),"")</f>
        <v>08032001020200</v>
      </c>
      <c r="D4" s="29" t="str">
        <f>IF('DAL Monthly (Report) Page 1'!A19&lt;&gt;"",TEXT('DAL Monthly (Report) Page 1'!E19,"mmddyyyy")&amp;TEXT('DAL Monthly (Report) Page 1'!F19,"hhmmss"),"")</f>
        <v>08032001150100</v>
      </c>
      <c r="E4" s="29">
        <f>IF('DAL Monthly (Report) Page 1'!A19&lt;&gt;"",'DAL Monthly (Report) Page 1'!H19,"")</f>
        <v>46500</v>
      </c>
    </row>
    <row r="5" spans="1:5" ht="15">
      <c r="A5" s="29" t="str">
        <f>IF('DAL Monthly (Report) Page 1'!A20&lt;&gt;"",'DAL Monthly (Report) Page 1'!C$12,"")</f>
        <v>01700</v>
      </c>
      <c r="B5" s="29">
        <f>IF('DAL Monthly (Report) Page 1'!A20&lt;&gt;"",'DAL Monthly (Report) Page 1'!A20,"")</f>
        <v>123460</v>
      </c>
      <c r="C5" s="29" t="str">
        <f>IF('DAL Monthly (Report) Page 1'!A20&lt;&gt;"",TEXT('DAL Monthly (Report) Page 1'!C20,"mmddyyyy")&amp;TEXT('DAL Monthly (Report) Page 1'!D20,"hhmmss"),"")</f>
        <v>08042001020300</v>
      </c>
      <c r="D5" s="29" t="str">
        <f>IF('DAL Monthly (Report) Page 1'!A20&lt;&gt;"",TEXT('DAL Monthly (Report) Page 1'!E20,"mmddyyyy")&amp;TEXT('DAL Monthly (Report) Page 1'!F20,"hhmmss"),"")</f>
        <v>08042001150200</v>
      </c>
      <c r="E5" s="29">
        <f>IF('DAL Monthly (Report) Page 1'!A20&lt;&gt;"",'DAL Monthly (Report) Page 1'!H20,"")</f>
        <v>47500</v>
      </c>
    </row>
    <row r="6" spans="1:5" ht="15">
      <c r="A6" s="29" t="str">
        <f>IF('DAL Monthly (Report) Page 1'!A21&lt;&gt;"",'DAL Monthly (Report) Page 1'!C$12,"")</f>
        <v>01700</v>
      </c>
      <c r="B6" s="29">
        <f>IF('DAL Monthly (Report) Page 1'!A21&lt;&gt;"",'DAL Monthly (Report) Page 1'!A21,"")</f>
        <v>123461</v>
      </c>
      <c r="C6" s="29" t="str">
        <f>IF('DAL Monthly (Report) Page 1'!A21&lt;&gt;"",TEXT('DAL Monthly (Report) Page 1'!C21,"mmddyyyy")&amp;TEXT('DAL Monthly (Report) Page 1'!D21,"hhmmss"),"")</f>
        <v>08052001020400</v>
      </c>
      <c r="D6" s="29" t="str">
        <f>IF('DAL Monthly (Report) Page 1'!A21&lt;&gt;"",TEXT('DAL Monthly (Report) Page 1'!E21,"mmddyyyy")&amp;TEXT('DAL Monthly (Report) Page 1'!F21,"hhmmss"),"")</f>
        <v>08052001150300</v>
      </c>
      <c r="E6" s="29">
        <f>IF('DAL Monthly (Report) Page 1'!A21&lt;&gt;"",'DAL Monthly (Report) Page 1'!H21,"")</f>
        <v>48500</v>
      </c>
    </row>
    <row r="7" spans="1:5" ht="15">
      <c r="A7" s="29" t="str">
        <f>IF('DAL Monthly (Report) Page 1'!A22&lt;&gt;"",'DAL Monthly (Report) Page 1'!C$12,"")</f>
        <v>01700</v>
      </c>
      <c r="B7" s="29">
        <f>IF('DAL Monthly (Report) Page 1'!A22&lt;&gt;"",'DAL Monthly (Report) Page 1'!A22,"")</f>
        <v>123462</v>
      </c>
      <c r="C7" s="29" t="str">
        <f>IF('DAL Monthly (Report) Page 1'!A22&lt;&gt;"",TEXT('DAL Monthly (Report) Page 1'!C22,"mmddyyyy")&amp;TEXT('DAL Monthly (Report) Page 1'!D22,"hhmmss"),"")</f>
        <v>08062001020500</v>
      </c>
      <c r="D7" s="29" t="str">
        <f>IF('DAL Monthly (Report) Page 1'!A22&lt;&gt;"",TEXT('DAL Monthly (Report) Page 1'!E22,"mmddyyyy")&amp;TEXT('DAL Monthly (Report) Page 1'!F22,"hhmmss"),"")</f>
        <v>08062001150400</v>
      </c>
      <c r="E7" s="29">
        <f>IF('DAL Monthly (Report) Page 1'!A22&lt;&gt;"",'DAL Monthly (Report) Page 1'!H22,"")</f>
        <v>49500</v>
      </c>
    </row>
    <row r="8" spans="1:5" ht="15">
      <c r="A8" s="29" t="str">
        <f>IF('DAL Monthly (Report) Page 1'!A23&lt;&gt;"",'DAL Monthly (Report) Page 1'!C$12,"")</f>
        <v>01700</v>
      </c>
      <c r="B8" s="29">
        <f>IF('DAL Monthly (Report) Page 1'!A23&lt;&gt;"",'DAL Monthly (Report) Page 1'!A23,"")</f>
        <v>123463</v>
      </c>
      <c r="C8" s="29" t="str">
        <f>IF('DAL Monthly (Report) Page 1'!A23&lt;&gt;"",TEXT('DAL Monthly (Report) Page 1'!C23,"mmddyyyy")&amp;TEXT('DAL Monthly (Report) Page 1'!D23,"hhmmss"),"")</f>
        <v>08072001020600</v>
      </c>
      <c r="D8" s="29" t="str">
        <f>IF('DAL Monthly (Report) Page 1'!A23&lt;&gt;"",TEXT('DAL Monthly (Report) Page 1'!E23,"mmddyyyy")&amp;TEXT('DAL Monthly (Report) Page 1'!F23,"hhmmss"),"")</f>
        <v>08072001150500</v>
      </c>
      <c r="E8" s="29">
        <f>IF('DAL Monthly (Report) Page 1'!A23&lt;&gt;"",'DAL Monthly (Report) Page 1'!H23,"")</f>
        <v>50500</v>
      </c>
    </row>
    <row r="9" spans="1:5" ht="15">
      <c r="A9" s="29" t="str">
        <f>IF('DAL Monthly (Report) Page 1'!A24&lt;&gt;"",'DAL Monthly (Report) Page 1'!C$12,"")</f>
        <v>01700</v>
      </c>
      <c r="B9" s="29">
        <f>IF('DAL Monthly (Report) Page 1'!A24&lt;&gt;"",'DAL Monthly (Report) Page 1'!A24,"")</f>
        <v>123464</v>
      </c>
      <c r="C9" s="29" t="str">
        <f>IF('DAL Monthly (Report) Page 1'!A24&lt;&gt;"",TEXT('DAL Monthly (Report) Page 1'!C24,"mmddyyyy")&amp;TEXT('DAL Monthly (Report) Page 1'!D24,"hhmmss"),"")</f>
        <v>08082001020700</v>
      </c>
      <c r="D9" s="29" t="str">
        <f>IF('DAL Monthly (Report) Page 1'!A24&lt;&gt;"",TEXT('DAL Monthly (Report) Page 1'!E24,"mmddyyyy")&amp;TEXT('DAL Monthly (Report) Page 1'!F24,"hhmmss"),"")</f>
        <v>08082001150600</v>
      </c>
      <c r="E9" s="29">
        <f>IF('DAL Monthly (Report) Page 1'!A24&lt;&gt;"",'DAL Monthly (Report) Page 1'!H24,"")</f>
        <v>51500</v>
      </c>
    </row>
    <row r="10" spans="1:5" ht="15">
      <c r="A10" s="29" t="str">
        <f>IF('DAL Monthly (Report) Page 1'!A25&lt;&gt;"",'DAL Monthly (Report) Page 1'!C$12,"")</f>
        <v>01700</v>
      </c>
      <c r="B10" s="29">
        <f>IF('DAL Monthly (Report) Page 1'!A25&lt;&gt;"",'DAL Monthly (Report) Page 1'!A25,"")</f>
        <v>123465</v>
      </c>
      <c r="C10" s="29" t="str">
        <f>IF('DAL Monthly (Report) Page 1'!A25&lt;&gt;"",TEXT('DAL Monthly (Report) Page 1'!C25,"mmddyyyy")&amp;TEXT('DAL Monthly (Report) Page 1'!D25,"hhmmss"),"")</f>
        <v>08092001020800</v>
      </c>
      <c r="D10" s="29" t="str">
        <f>IF('DAL Monthly (Report) Page 1'!A25&lt;&gt;"",TEXT('DAL Monthly (Report) Page 1'!E25,"mmddyyyy")&amp;TEXT('DAL Monthly (Report) Page 1'!F25,"hhmmss"),"")</f>
        <v>08092001150700</v>
      </c>
      <c r="E10" s="29">
        <f>IF('DAL Monthly (Report) Page 1'!A25&lt;&gt;"",'DAL Monthly (Report) Page 1'!H25,"")</f>
        <v>52500</v>
      </c>
    </row>
    <row r="11" spans="1:5" ht="15">
      <c r="A11" s="29" t="str">
        <f>IF('DAL Monthly (Report) Page 1'!A26&lt;&gt;"",'DAL Monthly (Report) Page 1'!C$12,"")</f>
        <v>01700</v>
      </c>
      <c r="B11" s="29">
        <f>IF('DAL Monthly (Report) Page 1'!A26&lt;&gt;"",'DAL Monthly (Report) Page 1'!A26,"")</f>
        <v>123466</v>
      </c>
      <c r="C11" s="29" t="str">
        <f>IF('DAL Monthly (Report) Page 1'!A26&lt;&gt;"",TEXT('DAL Monthly (Report) Page 1'!C26,"mmddyyyy")&amp;TEXT('DAL Monthly (Report) Page 1'!D26,"hhmmss"),"")</f>
        <v>08102001020900</v>
      </c>
      <c r="D11" s="29" t="str">
        <f>IF('DAL Monthly (Report) Page 1'!A26&lt;&gt;"",TEXT('DAL Monthly (Report) Page 1'!E26,"mmddyyyy")&amp;TEXT('DAL Monthly (Report) Page 1'!F26,"hhmmss"),"")</f>
        <v>08102001150800</v>
      </c>
      <c r="E11" s="29">
        <f>IF('DAL Monthly (Report) Page 1'!A26&lt;&gt;"",'DAL Monthly (Report) Page 1'!H26,"")</f>
        <v>53500</v>
      </c>
    </row>
    <row r="12" spans="1:5" ht="15">
      <c r="A12" s="29" t="str">
        <f>IF('DAL Monthly (Report) Page 1'!A27&lt;&gt;"",'DAL Monthly (Report) Page 1'!C$12,"")</f>
        <v>01700</v>
      </c>
      <c r="B12" s="29">
        <f>IF('DAL Monthly (Report) Page 1'!A27&lt;&gt;"",'DAL Monthly (Report) Page 1'!A27,"")</f>
        <v>123467</v>
      </c>
      <c r="C12" s="29" t="str">
        <f>IF('DAL Monthly (Report) Page 1'!A27&lt;&gt;"",TEXT('DAL Monthly (Report) Page 1'!C27,"mmddyyyy")&amp;TEXT('DAL Monthly (Report) Page 1'!D27,"hhmmss"),"")</f>
        <v>08112001021000</v>
      </c>
      <c r="D12" s="29" t="str">
        <f>IF('DAL Monthly (Report) Page 1'!A27&lt;&gt;"",TEXT('DAL Monthly (Report) Page 1'!E27,"mmddyyyy")&amp;TEXT('DAL Monthly (Report) Page 1'!F27,"hhmmss"),"")</f>
        <v>08112001150900</v>
      </c>
      <c r="E12" s="29">
        <f>IF('DAL Monthly (Report) Page 1'!A27&lt;&gt;"",'DAL Monthly (Report) Page 1'!H27,"")</f>
        <v>54500</v>
      </c>
    </row>
    <row r="13" spans="1:5" ht="15">
      <c r="A13" s="29" t="str">
        <f>IF('DAL Monthly (Report) Page 1'!A28&lt;&gt;"",'DAL Monthly (Report) Page 1'!C$12,"")</f>
        <v>01700</v>
      </c>
      <c r="B13" s="29">
        <f>IF('DAL Monthly (Report) Page 1'!A28&lt;&gt;"",'DAL Monthly (Report) Page 1'!A28,"")</f>
        <v>123468</v>
      </c>
      <c r="C13" s="29" t="str">
        <f>IF('DAL Monthly (Report) Page 1'!A28&lt;&gt;"",TEXT('DAL Monthly (Report) Page 1'!C28,"mmddyyyy")&amp;TEXT('DAL Monthly (Report) Page 1'!D28,"hhmmss"),"")</f>
        <v>08122001021100</v>
      </c>
      <c r="D13" s="29" t="str">
        <f>IF('DAL Monthly (Report) Page 1'!A28&lt;&gt;"",TEXT('DAL Monthly (Report) Page 1'!E28,"mmddyyyy")&amp;TEXT('DAL Monthly (Report) Page 1'!F28,"hhmmss"),"")</f>
        <v>08122001151000</v>
      </c>
      <c r="E13" s="29">
        <f>IF('DAL Monthly (Report) Page 1'!A28&lt;&gt;"",'DAL Monthly (Report) Page 1'!H28,"")</f>
        <v>55500</v>
      </c>
    </row>
    <row r="14" spans="1:5" ht="15">
      <c r="A14" s="29" t="str">
        <f>IF('DAL Monthly (Report) Page 1'!A29&lt;&gt;"",'DAL Monthly (Report) Page 1'!C$12,"")</f>
        <v>01700</v>
      </c>
      <c r="B14" s="29">
        <f>IF('DAL Monthly (Report) Page 1'!A29&lt;&gt;"",'DAL Monthly (Report) Page 1'!A29,"")</f>
        <v>123469</v>
      </c>
      <c r="C14" s="29" t="str">
        <f>IF('DAL Monthly (Report) Page 1'!A29&lt;&gt;"",TEXT('DAL Monthly (Report) Page 1'!C29,"mmddyyyy")&amp;TEXT('DAL Monthly (Report) Page 1'!D29,"hhmmss"),"")</f>
        <v>08132001021200</v>
      </c>
      <c r="D14" s="29" t="str">
        <f>IF('DAL Monthly (Report) Page 1'!A29&lt;&gt;"",TEXT('DAL Monthly (Report) Page 1'!E29,"mmddyyyy")&amp;TEXT('DAL Monthly (Report) Page 1'!F29,"hhmmss"),"")</f>
        <v>08132001151100</v>
      </c>
      <c r="E14" s="29">
        <f>IF('DAL Monthly (Report) Page 1'!A29&lt;&gt;"",'DAL Monthly (Report) Page 1'!H29,"")</f>
        <v>56500</v>
      </c>
    </row>
    <row r="15" spans="1:5" ht="15">
      <c r="A15" s="29" t="str">
        <f>IF('DAL Monthly (Report) Page 1'!A30&lt;&gt;"",'DAL Monthly (Report) Page 1'!C$12,"")</f>
        <v>01700</v>
      </c>
      <c r="B15" s="29">
        <f>IF('DAL Monthly (Report) Page 1'!A30&lt;&gt;"",'DAL Monthly (Report) Page 1'!A30,"")</f>
        <v>123470</v>
      </c>
      <c r="C15" s="29" t="str">
        <f>IF('DAL Monthly (Report) Page 1'!A30&lt;&gt;"",TEXT('DAL Monthly (Report) Page 1'!C30,"mmddyyyy")&amp;TEXT('DAL Monthly (Report) Page 1'!D30,"hhmmss"),"")</f>
        <v>08142001021300</v>
      </c>
      <c r="D15" s="29" t="str">
        <f>IF('DAL Monthly (Report) Page 1'!A30&lt;&gt;"",TEXT('DAL Monthly (Report) Page 1'!E30,"mmddyyyy")&amp;TEXT('DAL Monthly (Report) Page 1'!F30,"hhmmss"),"")</f>
        <v>08142001151200</v>
      </c>
      <c r="E15" s="29">
        <f>IF('DAL Monthly (Report) Page 1'!A30&lt;&gt;"",'DAL Monthly (Report) Page 1'!H30,"")</f>
        <v>57500</v>
      </c>
    </row>
    <row r="16" spans="1:5" ht="15">
      <c r="A16" s="29" t="str">
        <f>IF('DAL Monthly (Report) Page 1'!A31&lt;&gt;"",'DAL Monthly (Report) Page 1'!C$12,"")</f>
        <v>01700</v>
      </c>
      <c r="B16" s="29">
        <f>IF('DAL Monthly (Report) Page 1'!A31&lt;&gt;"",'DAL Monthly (Report) Page 1'!A31,"")</f>
        <v>123471</v>
      </c>
      <c r="C16" s="29" t="str">
        <f>IF('DAL Monthly (Report) Page 1'!A31&lt;&gt;"",TEXT('DAL Monthly (Report) Page 1'!C31,"mmddyyyy")&amp;TEXT('DAL Monthly (Report) Page 1'!D31,"hhmmss"),"")</f>
        <v>08152001021400</v>
      </c>
      <c r="D16" s="29" t="str">
        <f>IF('DAL Monthly (Report) Page 1'!A31&lt;&gt;"",TEXT('DAL Monthly (Report) Page 1'!E31,"mmddyyyy")&amp;TEXT('DAL Monthly (Report) Page 1'!F31,"hhmmss"),"")</f>
        <v>08152001151300</v>
      </c>
      <c r="E16" s="29">
        <f>IF('DAL Monthly (Report) Page 1'!A31&lt;&gt;"",'DAL Monthly (Report) Page 1'!H31,"")</f>
        <v>58500</v>
      </c>
    </row>
    <row r="17" spans="1:5" ht="15">
      <c r="A17" s="29" t="str">
        <f>IF('DAL Monthly (Report) Page 1'!A32&lt;&gt;"",'DAL Monthly (Report) Page 1'!C$12,"")</f>
        <v>01700</v>
      </c>
      <c r="B17" s="29">
        <f>IF('DAL Monthly (Report) Page 1'!A32&lt;&gt;"",'DAL Monthly (Report) Page 1'!A32,"")</f>
        <v>123472</v>
      </c>
      <c r="C17" s="29" t="str">
        <f>IF('DAL Monthly (Report) Page 1'!A32&lt;&gt;"",TEXT('DAL Monthly (Report) Page 1'!C32,"mmddyyyy")&amp;TEXT('DAL Monthly (Report) Page 1'!D32,"hhmmss"),"")</f>
        <v>08162001021500</v>
      </c>
      <c r="D17" s="29" t="str">
        <f>IF('DAL Monthly (Report) Page 1'!A32&lt;&gt;"",TEXT('DAL Monthly (Report) Page 1'!E32,"mmddyyyy")&amp;TEXT('DAL Monthly (Report) Page 1'!F32,"hhmmss"),"")</f>
        <v>08162001151400</v>
      </c>
      <c r="E17" s="29">
        <f>IF('DAL Monthly (Report) Page 1'!A32&lt;&gt;"",'DAL Monthly (Report) Page 1'!H32,"")</f>
        <v>59500</v>
      </c>
    </row>
    <row r="18" spans="1:5" ht="15">
      <c r="A18" s="29" t="str">
        <f>IF('DAL Monthly (Report) Page 1'!A33&lt;&gt;"",'DAL Monthly (Report) Page 1'!C$12,"")</f>
        <v>01700</v>
      </c>
      <c r="B18" s="29">
        <f>IF('DAL Monthly (Report) Page 1'!A33&lt;&gt;"",'DAL Monthly (Report) Page 1'!A33,"")</f>
        <v>123473</v>
      </c>
      <c r="C18" s="29" t="str">
        <f>IF('DAL Monthly (Report) Page 1'!A33&lt;&gt;"",TEXT('DAL Monthly (Report) Page 1'!C33,"mmddyyyy")&amp;TEXT('DAL Monthly (Report) Page 1'!D33,"hhmmss"),"")</f>
        <v>08172001021600</v>
      </c>
      <c r="D18" s="29" t="str">
        <f>IF('DAL Monthly (Report) Page 1'!A33&lt;&gt;"",TEXT('DAL Monthly (Report) Page 1'!E33,"mmddyyyy")&amp;TEXT('DAL Monthly (Report) Page 1'!F33,"hhmmss"),"")</f>
        <v>08172001151500</v>
      </c>
      <c r="E18" s="29">
        <f>IF('DAL Monthly (Report) Page 1'!A33&lt;&gt;"",'DAL Monthly (Report) Page 1'!H33,"")</f>
        <v>60500</v>
      </c>
    </row>
    <row r="19" spans="1:5" ht="15">
      <c r="A19" s="29" t="str">
        <f>IF('DAL Monthly (Report) Page 1'!A34&lt;&gt;"",'DAL Monthly (Report) Page 1'!C$12,"")</f>
        <v>01700</v>
      </c>
      <c r="B19" s="29">
        <f>IF('DAL Monthly (Report) Page 1'!A34&lt;&gt;"",'DAL Monthly (Report) Page 1'!A34,"")</f>
        <v>123474</v>
      </c>
      <c r="C19" s="29" t="str">
        <f>IF('DAL Monthly (Report) Page 1'!A34&lt;&gt;"",TEXT('DAL Monthly (Report) Page 1'!C34,"mmddyyyy")&amp;TEXT('DAL Monthly (Report) Page 1'!D34,"hhmmss"),"")</f>
        <v>08182001021700</v>
      </c>
      <c r="D19" s="29" t="str">
        <f>IF('DAL Monthly (Report) Page 1'!A34&lt;&gt;"",TEXT('DAL Monthly (Report) Page 1'!E34,"mmddyyyy")&amp;TEXT('DAL Monthly (Report) Page 1'!F34,"hhmmss"),"")</f>
        <v>08182001151600</v>
      </c>
      <c r="E19" s="29">
        <f>IF('DAL Monthly (Report) Page 1'!A34&lt;&gt;"",'DAL Monthly (Report) Page 1'!H34,"")</f>
        <v>61500</v>
      </c>
    </row>
    <row r="20" spans="1:5" ht="15">
      <c r="A20" s="29" t="str">
        <f>IF('DAL Monthly (Report) Page 1'!A35&lt;&gt;"",'DAL Monthly (Report) Page 1'!C$12,"")</f>
        <v>01700</v>
      </c>
      <c r="B20" s="29">
        <f>IF('DAL Monthly (Report) Page 1'!A35&lt;&gt;"",'DAL Monthly (Report) Page 1'!A35,"")</f>
        <v>123475</v>
      </c>
      <c r="C20" s="29" t="str">
        <f>IF('DAL Monthly (Report) Page 1'!A35&lt;&gt;"",TEXT('DAL Monthly (Report) Page 1'!C35,"mmddyyyy")&amp;TEXT('DAL Monthly (Report) Page 1'!D35,"hhmmss"),"")</f>
        <v>08192001021800</v>
      </c>
      <c r="D20" s="29" t="str">
        <f>IF('DAL Monthly (Report) Page 1'!A35&lt;&gt;"",TEXT('DAL Monthly (Report) Page 1'!E35,"mmddyyyy")&amp;TEXT('DAL Monthly (Report) Page 1'!F35,"hhmmss"),"")</f>
        <v>08192001151700</v>
      </c>
      <c r="E20" s="29">
        <f>IF('DAL Monthly (Report) Page 1'!A35&lt;&gt;"",'DAL Monthly (Report) Page 1'!H35,"")</f>
        <v>62500</v>
      </c>
    </row>
    <row r="21" spans="1:5" ht="15">
      <c r="A21" s="29" t="str">
        <f>IF('DAL Monthly (Report) Page 1'!A36&lt;&gt;"",'DAL Monthly (Report) Page 1'!C$12,"")</f>
        <v>01700</v>
      </c>
      <c r="B21" s="29">
        <f>IF('DAL Monthly (Report) Page 1'!A36&lt;&gt;"",'DAL Monthly (Report) Page 1'!A36,"")</f>
        <v>123476</v>
      </c>
      <c r="C21" s="29" t="str">
        <f>IF('DAL Monthly (Report) Page 1'!A36&lt;&gt;"",TEXT('DAL Monthly (Report) Page 1'!C36,"mmddyyyy")&amp;TEXT('DAL Monthly (Report) Page 1'!D36,"hhmmss"),"")</f>
        <v>08202001021900</v>
      </c>
      <c r="D21" s="29" t="str">
        <f>IF('DAL Monthly (Report) Page 1'!A36&lt;&gt;"",TEXT('DAL Monthly (Report) Page 1'!E36,"mmddyyyy")&amp;TEXT('DAL Monthly (Report) Page 1'!F36,"hhmmss"),"")</f>
        <v>08202001151800</v>
      </c>
      <c r="E21" s="29">
        <f>IF('DAL Monthly (Report) Page 1'!A36&lt;&gt;"",'DAL Monthly (Report) Page 1'!H36,"")</f>
        <v>63500</v>
      </c>
    </row>
    <row r="22" spans="1:5" ht="15">
      <c r="A22" s="29" t="str">
        <f>IF('DAL Monthly (Report) Page 1'!A37&lt;&gt;"",'DAL Monthly (Report) Page 1'!C$12,"")</f>
        <v>01700</v>
      </c>
      <c r="B22" s="29">
        <f>IF('DAL Monthly (Report) Page 1'!A37&lt;&gt;"",'DAL Monthly (Report) Page 1'!A37,"")</f>
        <v>123477</v>
      </c>
      <c r="C22" s="29" t="str">
        <f>IF('DAL Monthly (Report) Page 1'!A37&lt;&gt;"",TEXT('DAL Monthly (Report) Page 1'!C37,"mmddyyyy")&amp;TEXT('DAL Monthly (Report) Page 1'!D37,"hhmmss"),"")</f>
        <v>08212001022000</v>
      </c>
      <c r="D22" s="29" t="str">
        <f>IF('DAL Monthly (Report) Page 1'!A37&lt;&gt;"",TEXT('DAL Monthly (Report) Page 1'!E37,"mmddyyyy")&amp;TEXT('DAL Monthly (Report) Page 1'!F37,"hhmmss"),"")</f>
        <v>08212001151900</v>
      </c>
      <c r="E22" s="29">
        <f>IF('DAL Monthly (Report) Page 1'!A37&lt;&gt;"",'DAL Monthly (Report) Page 1'!H37,"")</f>
        <v>64500</v>
      </c>
    </row>
    <row r="23" spans="1:5" ht="15">
      <c r="A23" s="29" t="str">
        <f>IF('DAL Monthly (Report) Page 1'!A38&lt;&gt;"",'DAL Monthly (Report) Page 1'!C$12,"")</f>
        <v>01700</v>
      </c>
      <c r="B23" s="29">
        <f>IF('DAL Monthly (Report) Page 1'!A38&lt;&gt;"",'DAL Monthly (Report) Page 1'!A38,"")</f>
        <v>123478</v>
      </c>
      <c r="C23" s="29" t="str">
        <f>IF('DAL Monthly (Report) Page 1'!A38&lt;&gt;"",TEXT('DAL Monthly (Report) Page 1'!C38,"mmddyyyy")&amp;TEXT('DAL Monthly (Report) Page 1'!D38,"hhmmss"),"")</f>
        <v>08222001022100</v>
      </c>
      <c r="D23" s="29" t="str">
        <f>IF('DAL Monthly (Report) Page 1'!A38&lt;&gt;"",TEXT('DAL Monthly (Report) Page 1'!E38,"mmddyyyy")&amp;TEXT('DAL Monthly (Report) Page 1'!F38,"hhmmss"),"")</f>
        <v>08222001152000</v>
      </c>
      <c r="E23" s="29">
        <f>IF('DAL Monthly (Report) Page 1'!A38&lt;&gt;"",'DAL Monthly (Report) Page 1'!H38,"")</f>
        <v>65500</v>
      </c>
    </row>
    <row r="24" spans="1:5" ht="15">
      <c r="A24" s="29" t="str">
        <f>IF('DAL Monthly (Report) Page 1'!A39&lt;&gt;"",'DAL Monthly (Report) Page 1'!C$12,"")</f>
        <v>01700</v>
      </c>
      <c r="B24" s="29">
        <f>IF('DAL Monthly (Report) Page 1'!A39&lt;&gt;"",'DAL Monthly (Report) Page 1'!A39,"")</f>
        <v>123479</v>
      </c>
      <c r="C24" s="29" t="str">
        <f>IF('DAL Monthly (Report) Page 1'!A39&lt;&gt;"",TEXT('DAL Monthly (Report) Page 1'!C39,"mmddyyyy")&amp;TEXT('DAL Monthly (Report) Page 1'!D39,"hhmmss"),"")</f>
        <v>08232001022200</v>
      </c>
      <c r="D24" s="29" t="str">
        <f>IF('DAL Monthly (Report) Page 1'!A39&lt;&gt;"",TEXT('DAL Monthly (Report) Page 1'!E39,"mmddyyyy")&amp;TEXT('DAL Monthly (Report) Page 1'!F39,"hhmmss"),"")</f>
        <v>08232001152100</v>
      </c>
      <c r="E24" s="29">
        <f>IF('DAL Monthly (Report) Page 1'!A39&lt;&gt;"",'DAL Monthly (Report) Page 1'!H39,"")</f>
        <v>66500</v>
      </c>
    </row>
    <row r="25" spans="1:5" ht="15">
      <c r="A25" s="29" t="str">
        <f>IF('DAL Monthly (Report) Page 1'!A40&lt;&gt;"",'DAL Monthly (Report) Page 1'!C$12,"")</f>
        <v>01700</v>
      </c>
      <c r="B25" s="29">
        <f>IF('DAL Monthly (Report) Page 1'!A40&lt;&gt;"",'DAL Monthly (Report) Page 1'!A40,"")</f>
        <v>123480</v>
      </c>
      <c r="C25" s="29" t="str">
        <f>IF('DAL Monthly (Report) Page 1'!A40&lt;&gt;"",TEXT('DAL Monthly (Report) Page 1'!C40,"mmddyyyy")&amp;TEXT('DAL Monthly (Report) Page 1'!D40,"hhmmss"),"")</f>
        <v>08242001022300</v>
      </c>
      <c r="D25" s="29" t="str">
        <f>IF('DAL Monthly (Report) Page 1'!A40&lt;&gt;"",TEXT('DAL Monthly (Report) Page 1'!E40,"mmddyyyy")&amp;TEXT('DAL Monthly (Report) Page 1'!F40,"hhmmss"),"")</f>
        <v>08242001152200</v>
      </c>
      <c r="E25" s="29">
        <f>IF('DAL Monthly (Report) Page 1'!A40&lt;&gt;"",'DAL Monthly (Report) Page 1'!H40,"")</f>
        <v>67500</v>
      </c>
    </row>
    <row r="26" spans="1:5" ht="15">
      <c r="A26" s="29" t="str">
        <f>IF('DAL Monthly (Report) Page 1'!A41&lt;&gt;"",'DAL Monthly (Report) Page 1'!C$12,"")</f>
        <v>01700</v>
      </c>
      <c r="B26" s="29">
        <f>IF('DAL Monthly (Report) Page 1'!A41&lt;&gt;"",'DAL Monthly (Report) Page 1'!A41,"")</f>
        <v>123481</v>
      </c>
      <c r="C26" s="29" t="str">
        <f>IF('DAL Monthly (Report) Page 1'!A41&lt;&gt;"",TEXT('DAL Monthly (Report) Page 1'!C41,"mmddyyyy")&amp;TEXT('DAL Monthly (Report) Page 1'!D41,"hhmmss"),"")</f>
        <v>08252001022400</v>
      </c>
      <c r="D26" s="29" t="str">
        <f>IF('DAL Monthly (Report) Page 1'!A41&lt;&gt;"",TEXT('DAL Monthly (Report) Page 1'!E41,"mmddyyyy")&amp;TEXT('DAL Monthly (Report) Page 1'!F41,"hhmmss"),"")</f>
        <v>08252001152300</v>
      </c>
      <c r="E26" s="29">
        <f>IF('DAL Monthly (Report) Page 1'!A41&lt;&gt;"",'DAL Monthly (Report) Page 1'!H41,"")</f>
        <v>68500</v>
      </c>
    </row>
    <row r="27" spans="1:5" ht="15">
      <c r="A27" s="29" t="str">
        <f>IF('DAL Monthly (Report) Page 1'!A42&lt;&gt;"",'DAL Monthly (Report) Page 1'!C$12,"")</f>
        <v>01700</v>
      </c>
      <c r="B27" s="29">
        <f>IF('DAL Monthly (Report) Page 1'!A42&lt;&gt;"",'DAL Monthly (Report) Page 1'!A42,"")</f>
        <v>123482</v>
      </c>
      <c r="C27" s="29" t="str">
        <f>IF('DAL Monthly (Report) Page 1'!A42&lt;&gt;"",TEXT('DAL Monthly (Report) Page 1'!C42,"mmddyyyy")&amp;TEXT('DAL Monthly (Report) Page 1'!D42,"hhmmss"),"")</f>
        <v>08262001022500</v>
      </c>
      <c r="D27" s="29" t="str">
        <f>IF('DAL Monthly (Report) Page 1'!A42&lt;&gt;"",TEXT('DAL Monthly (Report) Page 1'!E42,"mmddyyyy")&amp;TEXT('DAL Monthly (Report) Page 1'!F42,"hhmmss"),"")</f>
        <v>08262001152400</v>
      </c>
      <c r="E27" s="29">
        <f>IF('DAL Monthly (Report) Page 1'!A42&lt;&gt;"",'DAL Monthly (Report) Page 1'!H42,"")</f>
        <v>69500</v>
      </c>
    </row>
    <row r="28" spans="1:5" ht="15">
      <c r="A28" s="29" t="str">
        <f>IF('DAL Monthly (Report) Page 1'!A43&lt;&gt;"",'DAL Monthly (Report) Page 1'!C$12,"")</f>
        <v>01700</v>
      </c>
      <c r="B28" s="29">
        <f>IF('DAL Monthly (Report) Page 1'!A43&lt;&gt;"",'DAL Monthly (Report) Page 1'!A43,"")</f>
        <v>123456</v>
      </c>
      <c r="C28" s="29" t="str">
        <f>IF('DAL Monthly (Report) Page 1'!A43&lt;&gt;"",TEXT('DAL Monthly (Report) Page 1'!C43,"mmddyyyy")&amp;TEXT('DAL Monthly (Report) Page 1'!D43,"hhmmss"),"")</f>
        <v>08012001010203</v>
      </c>
      <c r="D28" s="29" t="str">
        <f>IF('DAL Monthly (Report) Page 1'!A43&lt;&gt;"",TEXT('DAL Monthly (Report) Page 1'!E43,"mmddyyyy")&amp;TEXT('DAL Monthly (Report) Page 1'!F43,"hhmmss"),"")</f>
        <v>08022001130301</v>
      </c>
      <c r="E28" s="29">
        <f>IF('DAL Monthly (Report) Page 1'!A43&lt;&gt;"",'DAL Monthly (Report) Page 1'!H43,"")</f>
        <v>45123</v>
      </c>
    </row>
    <row r="29" spans="1:5" ht="15">
      <c r="A29" s="29" t="str">
        <f>IF('DAL Monthly (Report) Page 1'!A44&lt;&gt;"",'DAL Monthly (Report) Page 1'!C$12,"")</f>
        <v>01700</v>
      </c>
      <c r="B29" s="29">
        <f>IF('DAL Monthly (Report) Page 1'!A44&lt;&gt;"",'DAL Monthly (Report) Page 1'!A44,"")</f>
        <v>123457</v>
      </c>
      <c r="C29" s="29" t="str">
        <f>IF('DAL Monthly (Report) Page 1'!A44&lt;&gt;"",TEXT('DAL Monthly (Report) Page 1'!C44,"mmddyyyy")&amp;TEXT('DAL Monthly (Report) Page 1'!D44,"hhmmss"),"")</f>
        <v>08022001020100</v>
      </c>
      <c r="D29" s="29" t="str">
        <f>IF('DAL Monthly (Report) Page 1'!A44&lt;&gt;"",TEXT('DAL Monthly (Report) Page 1'!E44,"mmddyyyy")&amp;TEXT('DAL Monthly (Report) Page 1'!F44,"hhmmss"),"")</f>
        <v>08022001150000</v>
      </c>
      <c r="E29" s="29">
        <f>IF('DAL Monthly (Report) Page 1'!A44&lt;&gt;"",'DAL Monthly (Report) Page 1'!H44,"")</f>
        <v>45500</v>
      </c>
    </row>
    <row r="30" spans="1:5" ht="15">
      <c r="A30" s="29" t="str">
        <f>IF('DAL Monthly (Report) Page 1'!A45&lt;&gt;"",'DAL Monthly (Report) Page 1'!C$12,"")</f>
        <v>01700</v>
      </c>
      <c r="B30" s="29">
        <f>IF('DAL Monthly (Report) Page 1'!A45&lt;&gt;"",'DAL Monthly (Report) Page 1'!A45,"")</f>
        <v>123459</v>
      </c>
      <c r="C30" s="29" t="str">
        <f>IF('DAL Monthly (Report) Page 1'!A45&lt;&gt;"",TEXT('DAL Monthly (Report) Page 1'!C45,"mmddyyyy")&amp;TEXT('DAL Monthly (Report) Page 1'!D45,"hhmmss"),"")</f>
        <v>08032001020200</v>
      </c>
      <c r="D30" s="29" t="str">
        <f>IF('DAL Monthly (Report) Page 1'!A45&lt;&gt;"",TEXT('DAL Monthly (Report) Page 1'!E45,"mmddyyyy")&amp;TEXT('DAL Monthly (Report) Page 1'!F45,"hhmmss"),"")</f>
        <v>08032001150100</v>
      </c>
      <c r="E30" s="29">
        <f>IF('DAL Monthly (Report) Page 1'!A45&lt;&gt;"",'DAL Monthly (Report) Page 1'!H45,"")</f>
        <v>46500</v>
      </c>
    </row>
    <row r="31" spans="1:5" ht="15">
      <c r="A31" s="29" t="str">
        <f>IF('DAL Monthly (Report) Page 1'!A46&lt;&gt;"",'DAL Monthly (Report) Page 1'!C$12,"")</f>
        <v>01700</v>
      </c>
      <c r="B31" s="29">
        <f>IF('DAL Monthly (Report) Page 1'!A46&lt;&gt;"",'DAL Monthly (Report) Page 1'!A46,"")</f>
        <v>123460</v>
      </c>
      <c r="C31" s="29" t="str">
        <f>IF('DAL Monthly (Report) Page 1'!A46&lt;&gt;"",TEXT('DAL Monthly (Report) Page 1'!C46,"mmddyyyy")&amp;TEXT('DAL Monthly (Report) Page 1'!D46,"hhmmss"),"")</f>
        <v>08042001020300</v>
      </c>
      <c r="D31" s="29" t="str">
        <f>IF('DAL Monthly (Report) Page 1'!A46&lt;&gt;"",TEXT('DAL Monthly (Report) Page 1'!E46,"mmddyyyy")&amp;TEXT('DAL Monthly (Report) Page 1'!F46,"hhmmss"),"")</f>
        <v>08042001150200</v>
      </c>
      <c r="E31" s="29">
        <f>IF('DAL Monthly (Report) Page 1'!A46&lt;&gt;"",'DAL Monthly (Report) Page 1'!H46,"")</f>
        <v>47500</v>
      </c>
    </row>
    <row r="32" spans="1:5" ht="15">
      <c r="A32" s="29" t="str">
        <f>IF('DAL Monthly (Report) Page 1'!A47&lt;&gt;"",'DAL Monthly (Report) Page 1'!C$12,"")</f>
        <v>01700</v>
      </c>
      <c r="B32" s="29">
        <f>IF('DAL Monthly (Report) Page 1'!A47&lt;&gt;"",'DAL Monthly (Report) Page 1'!A47,"")</f>
        <v>123461</v>
      </c>
      <c r="C32" s="29" t="str">
        <f>IF('DAL Monthly (Report) Page 1'!A47&lt;&gt;"",TEXT('DAL Monthly (Report) Page 1'!C47,"mmddyyyy")&amp;TEXT('DAL Monthly (Report) Page 1'!D47,"hhmmss"),"")</f>
        <v>08052001020400</v>
      </c>
      <c r="D32" s="29" t="str">
        <f>IF('DAL Monthly (Report) Page 1'!A47&lt;&gt;"",TEXT('DAL Monthly (Report) Page 1'!E47,"mmddyyyy")&amp;TEXT('DAL Monthly (Report) Page 1'!F47,"hhmmss"),"")</f>
        <v>08052001150300</v>
      </c>
      <c r="E32" s="29">
        <f>IF('DAL Monthly (Report) Page 1'!A47&lt;&gt;"",'DAL Monthly (Report) Page 1'!H47,"")</f>
        <v>48500</v>
      </c>
    </row>
    <row r="33" spans="1:5" ht="15">
      <c r="A33" s="29" t="str">
        <f>IF('DAL Monthly (Report) Page 1'!A48&lt;&gt;"",'DAL Monthly (Report) Page 1'!C$12,"")</f>
        <v>01700</v>
      </c>
      <c r="B33" s="29">
        <f>IF('DAL Monthly (Report) Page 1'!A48&lt;&gt;"",'DAL Monthly (Report) Page 1'!A48,"")</f>
        <v>123462</v>
      </c>
      <c r="C33" s="29" t="str">
        <f>IF('DAL Monthly (Report) Page 1'!A48&lt;&gt;"",TEXT('DAL Monthly (Report) Page 1'!C48,"mmddyyyy")&amp;TEXT('DAL Monthly (Report) Page 1'!D48,"hhmmss"),"")</f>
        <v>08062001020500</v>
      </c>
      <c r="D33" s="29" t="str">
        <f>IF('DAL Monthly (Report) Page 1'!A48&lt;&gt;"",TEXT('DAL Monthly (Report) Page 1'!E48,"mmddyyyy")&amp;TEXT('DAL Monthly (Report) Page 1'!F48,"hhmmss"),"")</f>
        <v>08062001150400</v>
      </c>
      <c r="E33" s="29">
        <f>IF('DAL Monthly (Report) Page 1'!A48&lt;&gt;"",'DAL Monthly (Report) Page 1'!H48,"")</f>
        <v>49500</v>
      </c>
    </row>
    <row r="34" spans="1:5" ht="15">
      <c r="A34" s="29" t="str">
        <f>IF('DAL Monthly (Report) Page 1'!A49&lt;&gt;"",'DAL Monthly (Report) Page 1'!C$12,"")</f>
        <v>01700</v>
      </c>
      <c r="B34" s="29">
        <f>IF('DAL Monthly (Report) Page 1'!A49&lt;&gt;"",'DAL Monthly (Report) Page 1'!A49,"")</f>
        <v>123463</v>
      </c>
      <c r="C34" s="29" t="str">
        <f>IF('DAL Monthly (Report) Page 1'!A49&lt;&gt;"",TEXT('DAL Monthly (Report) Page 1'!C49,"mmddyyyy")&amp;TEXT('DAL Monthly (Report) Page 1'!D49,"hhmmss"),"")</f>
        <v>08072001020600</v>
      </c>
      <c r="D34" s="29" t="str">
        <f>IF('DAL Monthly (Report) Page 1'!A49&lt;&gt;"",TEXT('DAL Monthly (Report) Page 1'!E49,"mmddyyyy")&amp;TEXT('DAL Monthly (Report) Page 1'!F49,"hhmmss"),"")</f>
        <v>08072001150500</v>
      </c>
      <c r="E34" s="29">
        <f>IF('DAL Monthly (Report) Page 1'!A49&lt;&gt;"",'DAL Monthly (Report) Page 1'!H49,"")</f>
        <v>50500</v>
      </c>
    </row>
    <row r="35" spans="1:5" ht="15">
      <c r="A35" s="29" t="str">
        <f>IF('DAL Monthly (Report) Page 1'!A50&lt;&gt;"",'DAL Monthly (Report) Page 1'!C$12,"")</f>
        <v>01700</v>
      </c>
      <c r="B35" s="29">
        <f>IF('DAL Monthly (Report) Page 1'!A50&lt;&gt;"",'DAL Monthly (Report) Page 1'!A50,"")</f>
        <v>123464</v>
      </c>
      <c r="C35" s="29" t="str">
        <f>IF('DAL Monthly (Report) Page 1'!A50&lt;&gt;"",TEXT('DAL Monthly (Report) Page 1'!C50,"mmddyyyy")&amp;TEXT('DAL Monthly (Report) Page 1'!D50,"hhmmss"),"")</f>
        <v>08082001020700</v>
      </c>
      <c r="D35" s="29" t="str">
        <f>IF('DAL Monthly (Report) Page 1'!A50&lt;&gt;"",TEXT('DAL Monthly (Report) Page 1'!E50,"mmddyyyy")&amp;TEXT('DAL Monthly (Report) Page 1'!F50,"hhmmss"),"")</f>
        <v>08082001150600</v>
      </c>
      <c r="E35" s="29">
        <f>IF('DAL Monthly (Report) Page 1'!A50&lt;&gt;"",'DAL Monthly (Report) Page 1'!H50,"")</f>
        <v>51500</v>
      </c>
    </row>
    <row r="36" spans="1:5" ht="15">
      <c r="A36" s="29" t="str">
        <f>IF('DAL Monthly (Report) Page 1'!A51&lt;&gt;"",'DAL Monthly (Report) Page 1'!C$12,"")</f>
        <v>01700</v>
      </c>
      <c r="B36" s="29">
        <f>IF('DAL Monthly (Report) Page 1'!A51&lt;&gt;"",'DAL Monthly (Report) Page 1'!A51,"")</f>
        <v>123483</v>
      </c>
      <c r="C36" s="29" t="str">
        <f>IF('DAL Monthly (Report) Page 1'!A51&lt;&gt;"",TEXT('DAL Monthly (Report) Page 1'!C51,"mmddyyyy")&amp;TEXT('DAL Monthly (Report) Page 1'!D51,"hhmmss"),"")</f>
        <v>08272001022600</v>
      </c>
      <c r="D36" s="29" t="str">
        <f>IF('DAL Monthly (Report) Page 1'!A51&lt;&gt;"",TEXT('DAL Monthly (Report) Page 1'!E51,"mmddyyyy")&amp;TEXT('DAL Monthly (Report) Page 1'!F51,"hhmmss"),"")</f>
        <v>08272001152500</v>
      </c>
      <c r="E36" s="29">
        <f>IF('DAL Monthly (Report) Page 1'!A51&lt;&gt;"",'DAL Monthly (Report) Page 1'!H51,"")</f>
        <v>70500</v>
      </c>
    </row>
    <row r="37" spans="1:5" ht="15">
      <c r="A37" s="29" t="str">
        <f>IF('DAL Monthly (Report) Page 2'!A17&lt;&gt;"",'DAL Monthly (Report) Page 2'!C$12,"")</f>
        <v>01700</v>
      </c>
      <c r="B37" s="29">
        <f>IF('DAL Monthly (Report) Page 2'!A17&lt;&gt;"",'DAL Monthly (Report) Page 2'!A17,"")</f>
        <v>200001</v>
      </c>
      <c r="C37" s="29" t="str">
        <f>IF('DAL Monthly (Report) Page 2'!A17&lt;&gt;"",TEXT('DAL Monthly (Report) Page 2'!C17,"mmddyyyy")&amp;TEXT('DAL Monthly (Report) Page 2'!D17,"hhmmss"),"")</f>
        <v>08012001010203</v>
      </c>
      <c r="D37" s="29" t="str">
        <f>IF('DAL Monthly (Report) Page 2'!A17&lt;&gt;"",TEXT('DAL Monthly (Report) Page 2'!E17,"mmddyyyy")&amp;TEXT('DAL Monthly (Report) Page 2'!F17,"hhmmss"),"")</f>
        <v>08022001130301</v>
      </c>
      <c r="E37" s="29">
        <f>IF('DAL Monthly (Report) Page 2'!A17&lt;&gt;"",'DAL Monthly (Report) Page 2'!H17,"")</f>
        <v>45123</v>
      </c>
    </row>
    <row r="38" spans="1:5" ht="15">
      <c r="A38" s="29" t="str">
        <f>IF('DAL Monthly (Report) Page 2'!A18&lt;&gt;"",'DAL Monthly (Report) Page 2'!C$12,"")</f>
        <v>01700</v>
      </c>
      <c r="B38" s="29">
        <f>IF('DAL Monthly (Report) Page 2'!A18&lt;&gt;"",'DAL Monthly (Report) Page 2'!A18,"")</f>
        <v>200002</v>
      </c>
      <c r="C38" s="29" t="str">
        <f>IF('DAL Monthly (Report) Page 2'!A18&lt;&gt;"",TEXT('DAL Monthly (Report) Page 2'!C18,"mmddyyyy")&amp;TEXT('DAL Monthly (Report) Page 2'!D18,"hhmmss"),"")</f>
        <v>08022001020100</v>
      </c>
      <c r="D38" s="29" t="str">
        <f>IF('DAL Monthly (Report) Page 2'!A18&lt;&gt;"",TEXT('DAL Monthly (Report) Page 2'!E18,"mmddyyyy")&amp;TEXT('DAL Monthly (Report) Page 2'!F18,"hhmmss"),"")</f>
        <v>08022001030100</v>
      </c>
      <c r="E38" s="29">
        <f>IF('DAL Monthly (Report) Page 2'!A18&lt;&gt;"",'DAL Monthly (Report) Page 2'!H18,"")</f>
        <v>47124</v>
      </c>
    </row>
    <row r="39" spans="1:5" ht="15">
      <c r="A39" s="29" t="str">
        <f>IF('DAL Monthly (Report) Page 2'!A19&lt;&gt;"",'DAL Monthly (Report) Page 2'!C$12,"")</f>
        <v>01700</v>
      </c>
      <c r="B39" s="29">
        <f>IF('DAL Monthly (Report) Page 2'!A19&lt;&gt;"",'DAL Monthly (Report) Page 2'!A19,"")</f>
        <v>200003</v>
      </c>
      <c r="C39" s="29" t="str">
        <f>IF('DAL Monthly (Report) Page 2'!A19&lt;&gt;"",TEXT('DAL Monthly (Report) Page 2'!C19,"mmddyyyy")&amp;TEXT('DAL Monthly (Report) Page 2'!D19,"hhmmss"),"")</f>
        <v>08032001030100</v>
      </c>
      <c r="D39" s="29" t="str">
        <f>IF('DAL Monthly (Report) Page 2'!A19&lt;&gt;"",TEXT('DAL Monthly (Report) Page 2'!E19,"mmddyyyy")&amp;TEXT('DAL Monthly (Report) Page 2'!F19,"hhmmss"),"")</f>
        <v>08032001150100</v>
      </c>
      <c r="E39" s="29">
        <f>IF('DAL Monthly (Report) Page 2'!A19&lt;&gt;"",'DAL Monthly (Report) Page 2'!H19,"")</f>
        <v>51001</v>
      </c>
    </row>
    <row r="40" spans="1:5" ht="15">
      <c r="A40" s="29" t="str">
        <f>IF('DAL Monthly (Report) Page 2'!A20&lt;&gt;"",'DAL Monthly (Report) Page 2'!C$12,"")</f>
        <v>01700</v>
      </c>
      <c r="B40" s="29">
        <f>IF('DAL Monthly (Report) Page 2'!A20&lt;&gt;"",'DAL Monthly (Report) Page 2'!A20,"")</f>
        <v>123471</v>
      </c>
      <c r="C40" s="29" t="str">
        <f>IF('DAL Monthly (Report) Page 2'!A20&lt;&gt;"",TEXT('DAL Monthly (Report) Page 2'!C20,"mmddyyyy")&amp;TEXT('DAL Monthly (Report) Page 2'!D20,"hhmmss"),"")</f>
        <v>08152001021400</v>
      </c>
      <c r="D40" s="29" t="str">
        <f>IF('DAL Monthly (Report) Page 2'!A20&lt;&gt;"",TEXT('DAL Monthly (Report) Page 2'!E20,"mmddyyyy")&amp;TEXT('DAL Monthly (Report) Page 2'!F20,"hhmmss"),"")</f>
        <v>08152001151300</v>
      </c>
      <c r="E40" s="29">
        <f>IF('DAL Monthly (Report) Page 2'!A20&lt;&gt;"",'DAL Monthly (Report) Page 2'!H20,"")</f>
        <v>58500</v>
      </c>
    </row>
    <row r="41" spans="1:5" ht="15">
      <c r="A41" s="29" t="str">
        <f>IF('DAL Monthly (Report) Page 2'!A21&lt;&gt;"",'DAL Monthly (Report) Page 2'!C$12,"")</f>
        <v>01700</v>
      </c>
      <c r="B41" s="29">
        <f>IF('DAL Monthly (Report) Page 2'!A21&lt;&gt;"",'DAL Monthly (Report) Page 2'!A21,"")</f>
        <v>123472</v>
      </c>
      <c r="C41" s="29" t="str">
        <f>IF('DAL Monthly (Report) Page 2'!A21&lt;&gt;"",TEXT('DAL Monthly (Report) Page 2'!C21,"mmddyyyy")&amp;TEXT('DAL Monthly (Report) Page 2'!D21,"hhmmss"),"")</f>
        <v>08162001021500</v>
      </c>
      <c r="D41" s="29" t="str">
        <f>IF('DAL Monthly (Report) Page 2'!A21&lt;&gt;"",TEXT('DAL Monthly (Report) Page 2'!E21,"mmddyyyy")&amp;TEXT('DAL Monthly (Report) Page 2'!F21,"hhmmss"),"")</f>
        <v>08162001151400</v>
      </c>
      <c r="E41" s="29">
        <f>IF('DAL Monthly (Report) Page 2'!A21&lt;&gt;"",'DAL Monthly (Report) Page 2'!H21,"")</f>
        <v>59500</v>
      </c>
    </row>
    <row r="42" spans="1:5" ht="15">
      <c r="A42" s="29" t="str">
        <f>IF('DAL Monthly (Report) Page 2'!A22&lt;&gt;"",'DAL Monthly (Report) Page 2'!C$12,"")</f>
        <v>01700</v>
      </c>
      <c r="B42" s="29">
        <f>IF('DAL Monthly (Report) Page 2'!A22&lt;&gt;"",'DAL Monthly (Report) Page 2'!A22,"")</f>
        <v>123473</v>
      </c>
      <c r="C42" s="29" t="str">
        <f>IF('DAL Monthly (Report) Page 2'!A22&lt;&gt;"",TEXT('DAL Monthly (Report) Page 2'!C22,"mmddyyyy")&amp;TEXT('DAL Monthly (Report) Page 2'!D22,"hhmmss"),"")</f>
        <v>08172001021600</v>
      </c>
      <c r="D42" s="29" t="str">
        <f>IF('DAL Monthly (Report) Page 2'!A22&lt;&gt;"",TEXT('DAL Monthly (Report) Page 2'!E22,"mmddyyyy")&amp;TEXT('DAL Monthly (Report) Page 2'!F22,"hhmmss"),"")</f>
        <v>08172001151500</v>
      </c>
      <c r="E42" s="29">
        <f>IF('DAL Monthly (Report) Page 2'!A22&lt;&gt;"",'DAL Monthly (Report) Page 2'!H22,"")</f>
        <v>60500</v>
      </c>
    </row>
    <row r="43" spans="1:5" ht="15">
      <c r="A43" s="29" t="str">
        <f>IF('DAL Monthly (Report) Page 2'!A23&lt;&gt;"",'DAL Monthly (Report) Page 2'!C$12,"")</f>
        <v>01700</v>
      </c>
      <c r="B43" s="29">
        <f>IF('DAL Monthly (Report) Page 2'!A23&lt;&gt;"",'DAL Monthly (Report) Page 2'!A23,"")</f>
        <v>123474</v>
      </c>
      <c r="C43" s="29" t="str">
        <f>IF('DAL Monthly (Report) Page 2'!A23&lt;&gt;"",TEXT('DAL Monthly (Report) Page 2'!C23,"mmddyyyy")&amp;TEXT('DAL Monthly (Report) Page 2'!D23,"hhmmss"),"")</f>
        <v>08182001021700</v>
      </c>
      <c r="D43" s="29" t="str">
        <f>IF('DAL Monthly (Report) Page 2'!A23&lt;&gt;"",TEXT('DAL Monthly (Report) Page 2'!E23,"mmddyyyy")&amp;TEXT('DAL Monthly (Report) Page 2'!F23,"hhmmss"),"")</f>
        <v>08182001151600</v>
      </c>
      <c r="E43" s="29">
        <f>IF('DAL Monthly (Report) Page 2'!A23&lt;&gt;"",'DAL Monthly (Report) Page 2'!H23,"")</f>
        <v>61500</v>
      </c>
    </row>
    <row r="44" spans="1:5" ht="15">
      <c r="A44" s="29" t="str">
        <f>IF('DAL Monthly (Report) Page 2'!A24&lt;&gt;"",'DAL Monthly (Report) Page 2'!C$12,"")</f>
        <v>01700</v>
      </c>
      <c r="B44" s="29">
        <f>IF('DAL Monthly (Report) Page 2'!A24&lt;&gt;"",'DAL Monthly (Report) Page 2'!A24,"")</f>
        <v>123475</v>
      </c>
      <c r="C44" s="29" t="str">
        <f>IF('DAL Monthly (Report) Page 2'!A24&lt;&gt;"",TEXT('DAL Monthly (Report) Page 2'!C24,"mmddyyyy")&amp;TEXT('DAL Monthly (Report) Page 2'!D24,"hhmmss"),"")</f>
        <v>08192001021800</v>
      </c>
      <c r="D44" s="29" t="str">
        <f>IF('DAL Monthly (Report) Page 2'!A24&lt;&gt;"",TEXT('DAL Monthly (Report) Page 2'!E24,"mmddyyyy")&amp;TEXT('DAL Monthly (Report) Page 2'!F24,"hhmmss"),"")</f>
        <v>08192001151700</v>
      </c>
      <c r="E44" s="29">
        <f>IF('DAL Monthly (Report) Page 2'!A24&lt;&gt;"",'DAL Monthly (Report) Page 2'!H24,"")</f>
        <v>62500</v>
      </c>
    </row>
    <row r="45" spans="1:5" ht="15">
      <c r="A45" s="29" t="str">
        <f>IF('DAL Monthly (Report) Page 2'!A25&lt;&gt;"",'DAL Monthly (Report) Page 2'!C$12,"")</f>
        <v>01700</v>
      </c>
      <c r="B45" s="29">
        <f>IF('DAL Monthly (Report) Page 2'!A25&lt;&gt;"",'DAL Monthly (Report) Page 2'!A25,"")</f>
        <v>123476</v>
      </c>
      <c r="C45" s="29" t="str">
        <f>IF('DAL Monthly (Report) Page 2'!A25&lt;&gt;"",TEXT('DAL Monthly (Report) Page 2'!C25,"mmddyyyy")&amp;TEXT('DAL Monthly (Report) Page 2'!D25,"hhmmss"),"")</f>
        <v>08202001021900</v>
      </c>
      <c r="D45" s="29" t="str">
        <f>IF('DAL Monthly (Report) Page 2'!A25&lt;&gt;"",TEXT('DAL Monthly (Report) Page 2'!E25,"mmddyyyy")&amp;TEXT('DAL Monthly (Report) Page 2'!F25,"hhmmss"),"")</f>
        <v>08202001151800</v>
      </c>
      <c r="E45" s="29">
        <f>IF('DAL Monthly (Report) Page 2'!A25&lt;&gt;"",'DAL Monthly (Report) Page 2'!H25,"")</f>
        <v>63500</v>
      </c>
    </row>
    <row r="46" spans="1:5" ht="15">
      <c r="A46" s="29" t="str">
        <f>IF('DAL Monthly (Report) Page 2'!A26&lt;&gt;"",'DAL Monthly (Report) Page 2'!C$12,"")</f>
        <v>01700</v>
      </c>
      <c r="B46" s="29">
        <f>IF('DAL Monthly (Report) Page 2'!A26&lt;&gt;"",'DAL Monthly (Report) Page 2'!A26,"")</f>
        <v>123477</v>
      </c>
      <c r="C46" s="29" t="str">
        <f>IF('DAL Monthly (Report) Page 2'!A26&lt;&gt;"",TEXT('DAL Monthly (Report) Page 2'!C26,"mmddyyyy")&amp;TEXT('DAL Monthly (Report) Page 2'!D26,"hhmmss"),"")</f>
        <v>08212001022000</v>
      </c>
      <c r="D46" s="29" t="str">
        <f>IF('DAL Monthly (Report) Page 2'!A26&lt;&gt;"",TEXT('DAL Monthly (Report) Page 2'!E26,"mmddyyyy")&amp;TEXT('DAL Monthly (Report) Page 2'!F26,"hhmmss"),"")</f>
        <v>08212001151900</v>
      </c>
      <c r="E46" s="29">
        <f>IF('DAL Monthly (Report) Page 2'!A26&lt;&gt;"",'DAL Monthly (Report) Page 2'!H26,"")</f>
        <v>64500</v>
      </c>
    </row>
    <row r="47" spans="1:5" ht="15">
      <c r="A47" s="29" t="str">
        <f>IF('DAL Monthly (Report) Page 2'!A27&lt;&gt;"",'DAL Monthly (Report) Page 2'!C$12,"")</f>
        <v>01700</v>
      </c>
      <c r="B47" s="29">
        <f>IF('DAL Monthly (Report) Page 2'!A27&lt;&gt;"",'DAL Monthly (Report) Page 2'!A27,"")</f>
        <v>123478</v>
      </c>
      <c r="C47" s="29" t="str">
        <f>IF('DAL Monthly (Report) Page 2'!A27&lt;&gt;"",TEXT('DAL Monthly (Report) Page 2'!C27,"mmddyyyy")&amp;TEXT('DAL Monthly (Report) Page 2'!D27,"hhmmss"),"")</f>
        <v>08222001022100</v>
      </c>
      <c r="D47" s="29" t="str">
        <f>IF('DAL Monthly (Report) Page 2'!A27&lt;&gt;"",TEXT('DAL Monthly (Report) Page 2'!E27,"mmddyyyy")&amp;TEXT('DAL Monthly (Report) Page 2'!F27,"hhmmss"),"")</f>
        <v>08222001152000</v>
      </c>
      <c r="E47" s="29">
        <f>IF('DAL Monthly (Report) Page 2'!A27&lt;&gt;"",'DAL Monthly (Report) Page 2'!H27,"")</f>
        <v>65500</v>
      </c>
    </row>
    <row r="48" spans="1:5" ht="15">
      <c r="A48" s="29" t="str">
        <f>IF('DAL Monthly (Report) Page 2'!A28&lt;&gt;"",'DAL Monthly (Report) Page 2'!C$12,"")</f>
        <v>01700</v>
      </c>
      <c r="B48" s="29">
        <f>IF('DAL Monthly (Report) Page 2'!A28&lt;&gt;"",'DAL Monthly (Report) Page 2'!A28,"")</f>
        <v>123479</v>
      </c>
      <c r="C48" s="29" t="str">
        <f>IF('DAL Monthly (Report) Page 2'!A28&lt;&gt;"",TEXT('DAL Monthly (Report) Page 2'!C28,"mmddyyyy")&amp;TEXT('DAL Monthly (Report) Page 2'!D28,"hhmmss"),"")</f>
        <v>08232001022200</v>
      </c>
      <c r="D48" s="29" t="str">
        <f>IF('DAL Monthly (Report) Page 2'!A28&lt;&gt;"",TEXT('DAL Monthly (Report) Page 2'!E28,"mmddyyyy")&amp;TEXT('DAL Monthly (Report) Page 2'!F28,"hhmmss"),"")</f>
        <v>08232001152100</v>
      </c>
      <c r="E48" s="29">
        <f>IF('DAL Monthly (Report) Page 2'!A28&lt;&gt;"",'DAL Monthly (Report) Page 2'!H28,"")</f>
        <v>66500</v>
      </c>
    </row>
    <row r="49" spans="1:5" ht="15">
      <c r="A49" s="29" t="str">
        <f>IF('DAL Monthly (Report) Page 2'!A29&lt;&gt;"",'DAL Monthly (Report) Page 2'!C$12,"")</f>
        <v>01700</v>
      </c>
      <c r="B49" s="29">
        <f>IF('DAL Monthly (Report) Page 2'!A29&lt;&gt;"",'DAL Monthly (Report) Page 2'!A29,"")</f>
        <v>123480</v>
      </c>
      <c r="C49" s="29" t="str">
        <f>IF('DAL Monthly (Report) Page 2'!A29&lt;&gt;"",TEXT('DAL Monthly (Report) Page 2'!C29,"mmddyyyy")&amp;TEXT('DAL Monthly (Report) Page 2'!D29,"hhmmss"),"")</f>
        <v>08242001022300</v>
      </c>
      <c r="D49" s="29" t="str">
        <f>IF('DAL Monthly (Report) Page 2'!A29&lt;&gt;"",TEXT('DAL Monthly (Report) Page 2'!E29,"mmddyyyy")&amp;TEXT('DAL Monthly (Report) Page 2'!F29,"hhmmss"),"")</f>
        <v>08242001152200</v>
      </c>
      <c r="E49" s="29">
        <f>IF('DAL Monthly (Report) Page 2'!A29&lt;&gt;"",'DAL Monthly (Report) Page 2'!H29,"")</f>
        <v>67500</v>
      </c>
    </row>
    <row r="50" spans="1:5" ht="15">
      <c r="A50" s="29" t="str">
        <f>IF('DAL Monthly (Report) Page 2'!A30&lt;&gt;"",'DAL Monthly (Report) Page 2'!C$12,"")</f>
        <v>01700</v>
      </c>
      <c r="B50" s="29">
        <f>IF('DAL Monthly (Report) Page 2'!A30&lt;&gt;"",'DAL Monthly (Report) Page 2'!A30,"")</f>
        <v>123481</v>
      </c>
      <c r="C50" s="29" t="str">
        <f>IF('DAL Monthly (Report) Page 2'!A30&lt;&gt;"",TEXT('DAL Monthly (Report) Page 2'!C30,"mmddyyyy")&amp;TEXT('DAL Monthly (Report) Page 2'!D30,"hhmmss"),"")</f>
        <v>08252001022400</v>
      </c>
      <c r="D50" s="29" t="str">
        <f>IF('DAL Monthly (Report) Page 2'!A30&lt;&gt;"",TEXT('DAL Monthly (Report) Page 2'!E30,"mmddyyyy")&amp;TEXT('DAL Monthly (Report) Page 2'!F30,"hhmmss"),"")</f>
        <v>08252001152300</v>
      </c>
      <c r="E50" s="29">
        <f>IF('DAL Monthly (Report) Page 2'!A30&lt;&gt;"",'DAL Monthly (Report) Page 2'!H30,"")</f>
        <v>68500</v>
      </c>
    </row>
    <row r="51" spans="1:5" ht="15">
      <c r="A51" s="29" t="str">
        <f>IF('DAL Monthly (Report) Page 2'!A31&lt;&gt;"",'DAL Monthly (Report) Page 2'!C$12,"")</f>
        <v>01700</v>
      </c>
      <c r="B51" s="29">
        <f>IF('DAL Monthly (Report) Page 2'!A31&lt;&gt;"",'DAL Monthly (Report) Page 2'!A31,"")</f>
        <v>123482</v>
      </c>
      <c r="C51" s="29" t="str">
        <f>IF('DAL Monthly (Report) Page 2'!A31&lt;&gt;"",TEXT('DAL Monthly (Report) Page 2'!C31,"mmddyyyy")&amp;TEXT('DAL Monthly (Report) Page 2'!D31,"hhmmss"),"")</f>
        <v>08262001022500</v>
      </c>
      <c r="D51" s="29" t="str">
        <f>IF('DAL Monthly (Report) Page 2'!A31&lt;&gt;"",TEXT('DAL Monthly (Report) Page 2'!E31,"mmddyyyy")&amp;TEXT('DAL Monthly (Report) Page 2'!F31,"hhmmss"),"")</f>
        <v>08262001152400</v>
      </c>
      <c r="E51" s="29">
        <f>IF('DAL Monthly (Report) Page 2'!A31&lt;&gt;"",'DAL Monthly (Report) Page 2'!H31,"")</f>
        <v>69500</v>
      </c>
    </row>
    <row r="52" spans="1:5" ht="15">
      <c r="A52" s="29" t="str">
        <f>IF('DAL Monthly (Report) Page 2'!A32&lt;&gt;"",'DAL Monthly (Report) Page 2'!C$12,"")</f>
        <v>01700</v>
      </c>
      <c r="B52" s="29">
        <f>IF('DAL Monthly (Report) Page 2'!A32&lt;&gt;"",'DAL Monthly (Report) Page 2'!A32,"")</f>
        <v>123456</v>
      </c>
      <c r="C52" s="29" t="str">
        <f>IF('DAL Monthly (Report) Page 2'!A32&lt;&gt;"",TEXT('DAL Monthly (Report) Page 2'!C32,"mmddyyyy")&amp;TEXT('DAL Monthly (Report) Page 2'!D32,"hhmmss"),"")</f>
        <v>08012001010203</v>
      </c>
      <c r="D52" s="29" t="str">
        <f>IF('DAL Monthly (Report) Page 2'!A32&lt;&gt;"",TEXT('DAL Monthly (Report) Page 2'!E32,"mmddyyyy")&amp;TEXT('DAL Monthly (Report) Page 2'!F32,"hhmmss"),"")</f>
        <v>08022001130301</v>
      </c>
      <c r="E52" s="29">
        <f>IF('DAL Monthly (Report) Page 2'!A32&lt;&gt;"",'DAL Monthly (Report) Page 2'!H32,"")</f>
        <v>45123</v>
      </c>
    </row>
    <row r="53" spans="1:5" ht="15">
      <c r="A53" s="29" t="str">
        <f>IF('DAL Monthly (Report) Page 2'!A33&lt;&gt;"",'DAL Monthly (Report) Page 2'!C$12,"")</f>
        <v>01700</v>
      </c>
      <c r="B53" s="29">
        <f>IF('DAL Monthly (Report) Page 2'!A33&lt;&gt;"",'DAL Monthly (Report) Page 2'!A33,"")</f>
        <v>123457</v>
      </c>
      <c r="C53" s="29" t="str">
        <f>IF('DAL Monthly (Report) Page 2'!A33&lt;&gt;"",TEXT('DAL Monthly (Report) Page 2'!C33,"mmddyyyy")&amp;TEXT('DAL Monthly (Report) Page 2'!D33,"hhmmss"),"")</f>
        <v>08022001020100</v>
      </c>
      <c r="D53" s="29" t="str">
        <f>IF('DAL Monthly (Report) Page 2'!A33&lt;&gt;"",TEXT('DAL Monthly (Report) Page 2'!E33,"mmddyyyy")&amp;TEXT('DAL Monthly (Report) Page 2'!F33,"hhmmss"),"")</f>
        <v>08022001150000</v>
      </c>
      <c r="E53" s="29">
        <f>IF('DAL Monthly (Report) Page 2'!A33&lt;&gt;"",'DAL Monthly (Report) Page 2'!H33,"")</f>
        <v>45500</v>
      </c>
    </row>
    <row r="54" spans="1:5" ht="15">
      <c r="A54" s="29" t="str">
        <f>IF('DAL Monthly (Report) Page 2'!A34&lt;&gt;"",'DAL Monthly (Report) Page 2'!C$12,"")</f>
        <v>01700</v>
      </c>
      <c r="B54" s="29">
        <f>IF('DAL Monthly (Report) Page 2'!A34&lt;&gt;"",'DAL Monthly (Report) Page 2'!A34,"")</f>
        <v>123459</v>
      </c>
      <c r="C54" s="29" t="str">
        <f>IF('DAL Monthly (Report) Page 2'!A34&lt;&gt;"",TEXT('DAL Monthly (Report) Page 2'!C34,"mmddyyyy")&amp;TEXT('DAL Monthly (Report) Page 2'!D34,"hhmmss"),"")</f>
        <v>08032001020200</v>
      </c>
      <c r="D54" s="29" t="str">
        <f>IF('DAL Monthly (Report) Page 2'!A34&lt;&gt;"",TEXT('DAL Monthly (Report) Page 2'!E34,"mmddyyyy")&amp;TEXT('DAL Monthly (Report) Page 2'!F34,"hhmmss"),"")</f>
        <v>08032001150100</v>
      </c>
      <c r="E54" s="29">
        <f>IF('DAL Monthly (Report) Page 2'!A34&lt;&gt;"",'DAL Monthly (Report) Page 2'!H34,"")</f>
        <v>46500</v>
      </c>
    </row>
    <row r="55" spans="1:5" ht="15">
      <c r="A55" s="29" t="str">
        <f>IF('DAL Monthly (Report) Page 2'!A35&lt;&gt;"",'DAL Monthly (Report) Page 2'!C$12,"")</f>
        <v>01700</v>
      </c>
      <c r="B55" s="29">
        <f>IF('DAL Monthly (Report) Page 2'!A35&lt;&gt;"",'DAL Monthly (Report) Page 2'!A35,"")</f>
        <v>123460</v>
      </c>
      <c r="C55" s="29" t="str">
        <f>IF('DAL Monthly (Report) Page 2'!A35&lt;&gt;"",TEXT('DAL Monthly (Report) Page 2'!C35,"mmddyyyy")&amp;TEXT('DAL Monthly (Report) Page 2'!D35,"hhmmss"),"")</f>
        <v>08042001020300</v>
      </c>
      <c r="D55" s="29" t="str">
        <f>IF('DAL Monthly (Report) Page 2'!A35&lt;&gt;"",TEXT('DAL Monthly (Report) Page 2'!E35,"mmddyyyy")&amp;TEXT('DAL Monthly (Report) Page 2'!F35,"hhmmss"),"")</f>
        <v>08042001150200</v>
      </c>
      <c r="E55" s="29">
        <f>IF('DAL Monthly (Report) Page 2'!A35&lt;&gt;"",'DAL Monthly (Report) Page 2'!H35,"")</f>
        <v>47500</v>
      </c>
    </row>
    <row r="56" spans="1:5" ht="15">
      <c r="A56" s="29" t="str">
        <f>IF('DAL Monthly (Report) Page 2'!A36&lt;&gt;"",'DAL Monthly (Report) Page 2'!C$12,"")</f>
        <v>01700</v>
      </c>
      <c r="B56" s="29">
        <f>IF('DAL Monthly (Report) Page 2'!A36&lt;&gt;"",'DAL Monthly (Report) Page 2'!A36,"")</f>
        <v>123461</v>
      </c>
      <c r="C56" s="29" t="str">
        <f>IF('DAL Monthly (Report) Page 2'!A36&lt;&gt;"",TEXT('DAL Monthly (Report) Page 2'!C36,"mmddyyyy")&amp;TEXT('DAL Monthly (Report) Page 2'!D36,"hhmmss"),"")</f>
        <v>08052001020400</v>
      </c>
      <c r="D56" s="29" t="str">
        <f>IF('DAL Monthly (Report) Page 2'!A36&lt;&gt;"",TEXT('DAL Monthly (Report) Page 2'!E36,"mmddyyyy")&amp;TEXT('DAL Monthly (Report) Page 2'!F36,"hhmmss"),"")</f>
        <v>08052001150300</v>
      </c>
      <c r="E56" s="29">
        <f>IF('DAL Monthly (Report) Page 2'!A36&lt;&gt;"",'DAL Monthly (Report) Page 2'!H36,"")</f>
        <v>48500</v>
      </c>
    </row>
    <row r="57" spans="1:5" ht="15">
      <c r="A57" s="29" t="str">
        <f>IF('DAL Monthly (Report) Page 2'!A37&lt;&gt;"",'DAL Monthly (Report) Page 2'!C$12,"")</f>
        <v>01700</v>
      </c>
      <c r="B57" s="29">
        <f>IF('DAL Monthly (Report) Page 2'!A37&lt;&gt;"",'DAL Monthly (Report) Page 2'!A37,"")</f>
        <v>123462</v>
      </c>
      <c r="C57" s="29" t="str">
        <f>IF('DAL Monthly (Report) Page 2'!A37&lt;&gt;"",TEXT('DAL Monthly (Report) Page 2'!C37,"mmddyyyy")&amp;TEXT('DAL Monthly (Report) Page 2'!D37,"hhmmss"),"")</f>
        <v>08062001020500</v>
      </c>
      <c r="D57" s="29" t="str">
        <f>IF('DAL Monthly (Report) Page 2'!A37&lt;&gt;"",TEXT('DAL Monthly (Report) Page 2'!E37,"mmddyyyy")&amp;TEXT('DAL Monthly (Report) Page 2'!F37,"hhmmss"),"")</f>
        <v>08062001150400</v>
      </c>
      <c r="E57" s="29">
        <f>IF('DAL Monthly (Report) Page 2'!A37&lt;&gt;"",'DAL Monthly (Report) Page 2'!H37,"")</f>
        <v>49500</v>
      </c>
    </row>
    <row r="58" spans="1:5" ht="15">
      <c r="A58" s="29" t="str">
        <f>IF('DAL Monthly (Report) Page 2'!A38&lt;&gt;"",'DAL Monthly (Report) Page 2'!C$12,"")</f>
        <v>01700</v>
      </c>
      <c r="B58" s="29">
        <f>IF('DAL Monthly (Report) Page 2'!A38&lt;&gt;"",'DAL Monthly (Report) Page 2'!A38,"")</f>
        <v>123473</v>
      </c>
      <c r="C58" s="29" t="str">
        <f>IF('DAL Monthly (Report) Page 2'!A38&lt;&gt;"",TEXT('DAL Monthly (Report) Page 2'!C38,"mmddyyyy")&amp;TEXT('DAL Monthly (Report) Page 2'!D38,"hhmmss"),"")</f>
        <v>08172001021600</v>
      </c>
      <c r="D58" s="29" t="str">
        <f>IF('DAL Monthly (Report) Page 2'!A38&lt;&gt;"",TEXT('DAL Monthly (Report) Page 2'!E38,"mmddyyyy")&amp;TEXT('DAL Monthly (Report) Page 2'!F38,"hhmmss"),"")</f>
        <v>08172001151500</v>
      </c>
      <c r="E58" s="29">
        <f>IF('DAL Monthly (Report) Page 2'!A38&lt;&gt;"",'DAL Monthly (Report) Page 2'!H38,"")</f>
        <v>60500</v>
      </c>
    </row>
    <row r="59" spans="1:5" ht="15">
      <c r="A59" s="29" t="str">
        <f>IF('DAL Monthly (Report) Page 2'!A39&lt;&gt;"",'DAL Monthly (Report) Page 2'!C$12,"")</f>
        <v>01700</v>
      </c>
      <c r="B59" s="29">
        <f>IF('DAL Monthly (Report) Page 2'!A39&lt;&gt;"",'DAL Monthly (Report) Page 2'!A39,"")</f>
        <v>123474</v>
      </c>
      <c r="C59" s="29" t="str">
        <f>IF('DAL Monthly (Report) Page 2'!A39&lt;&gt;"",TEXT('DAL Monthly (Report) Page 2'!C39,"mmddyyyy")&amp;TEXT('DAL Monthly (Report) Page 2'!D39,"hhmmss"),"")</f>
        <v>08182001021700</v>
      </c>
      <c r="D59" s="29" t="str">
        <f>IF('DAL Monthly (Report) Page 2'!A39&lt;&gt;"",TEXT('DAL Monthly (Report) Page 2'!E39,"mmddyyyy")&amp;TEXT('DAL Monthly (Report) Page 2'!F39,"hhmmss"),"")</f>
        <v>08182001151600</v>
      </c>
      <c r="E59" s="29">
        <f>IF('DAL Monthly (Report) Page 2'!A39&lt;&gt;"",'DAL Monthly (Report) Page 2'!H39,"")</f>
        <v>61500</v>
      </c>
    </row>
    <row r="60" spans="1:5" ht="15">
      <c r="A60" s="29" t="str">
        <f>IF('DAL Monthly (Report) Page 2'!A40&lt;&gt;"",'DAL Monthly (Report) Page 2'!C$12,"")</f>
        <v>01700</v>
      </c>
      <c r="B60" s="29">
        <f>IF('DAL Monthly (Report) Page 2'!A40&lt;&gt;"",'DAL Monthly (Report) Page 2'!A40,"")</f>
        <v>123475</v>
      </c>
      <c r="C60" s="29" t="str">
        <f>IF('DAL Monthly (Report) Page 2'!A40&lt;&gt;"",TEXT('DAL Monthly (Report) Page 2'!C40,"mmddyyyy")&amp;TEXT('DAL Monthly (Report) Page 2'!D40,"hhmmss"),"")</f>
        <v>08192001021800</v>
      </c>
      <c r="D60" s="29" t="str">
        <f>IF('DAL Monthly (Report) Page 2'!A40&lt;&gt;"",TEXT('DAL Monthly (Report) Page 2'!E40,"mmddyyyy")&amp;TEXT('DAL Monthly (Report) Page 2'!F40,"hhmmss"),"")</f>
        <v>08192001151700</v>
      </c>
      <c r="E60" s="29">
        <f>IF('DAL Monthly (Report) Page 2'!A40&lt;&gt;"",'DAL Monthly (Report) Page 2'!H40,"")</f>
        <v>62500</v>
      </c>
    </row>
    <row r="61" spans="1:5" ht="15">
      <c r="A61" s="29" t="str">
        <f>IF('DAL Monthly (Report) Page 2'!A41&lt;&gt;"",'DAL Monthly (Report) Page 2'!C$12,"")</f>
        <v>01700</v>
      </c>
      <c r="B61" s="29">
        <f>IF('DAL Monthly (Report) Page 2'!A41&lt;&gt;"",'DAL Monthly (Report) Page 2'!A41,"")</f>
        <v>123476</v>
      </c>
      <c r="C61" s="29" t="str">
        <f>IF('DAL Monthly (Report) Page 2'!A41&lt;&gt;"",TEXT('DAL Monthly (Report) Page 2'!C41,"mmddyyyy")&amp;TEXT('DAL Monthly (Report) Page 2'!D41,"hhmmss"),"")</f>
        <v>08202001021900</v>
      </c>
      <c r="D61" s="29" t="str">
        <f>IF('DAL Monthly (Report) Page 2'!A41&lt;&gt;"",TEXT('DAL Monthly (Report) Page 2'!E41,"mmddyyyy")&amp;TEXT('DAL Monthly (Report) Page 2'!F41,"hhmmss"),"")</f>
        <v>08202001151800</v>
      </c>
      <c r="E61" s="29">
        <f>IF('DAL Monthly (Report) Page 2'!A41&lt;&gt;"",'DAL Monthly (Report) Page 2'!H41,"")</f>
        <v>63500</v>
      </c>
    </row>
    <row r="62" spans="1:5" ht="15">
      <c r="A62" s="29" t="str">
        <f>IF('DAL Monthly (Report) Page 2'!A42&lt;&gt;"",'DAL Monthly (Report) Page 2'!C$12,"")</f>
        <v>01700</v>
      </c>
      <c r="B62" s="29">
        <f>IF('DAL Monthly (Report) Page 2'!A42&lt;&gt;"",'DAL Monthly (Report) Page 2'!A42,"")</f>
        <v>123477</v>
      </c>
      <c r="C62" s="29" t="str">
        <f>IF('DAL Monthly (Report) Page 2'!A42&lt;&gt;"",TEXT('DAL Monthly (Report) Page 2'!C42,"mmddyyyy")&amp;TEXT('DAL Monthly (Report) Page 2'!D42,"hhmmss"),"")</f>
        <v>08212001022000</v>
      </c>
      <c r="D62" s="29" t="str">
        <f>IF('DAL Monthly (Report) Page 2'!A42&lt;&gt;"",TEXT('DAL Monthly (Report) Page 2'!E42,"mmddyyyy")&amp;TEXT('DAL Monthly (Report) Page 2'!F42,"hhmmss"),"")</f>
        <v>08212001151900</v>
      </c>
      <c r="E62" s="29">
        <f>IF('DAL Monthly (Report) Page 2'!A42&lt;&gt;"",'DAL Monthly (Report) Page 2'!H42,"")</f>
        <v>64500</v>
      </c>
    </row>
    <row r="63" spans="1:5" ht="15">
      <c r="A63" s="29" t="str">
        <f>IF('DAL Monthly (Report) Page 2'!A43&lt;&gt;"",'DAL Monthly (Report) Page 2'!C$12,"")</f>
        <v>01700</v>
      </c>
      <c r="B63" s="29">
        <f>IF('DAL Monthly (Report) Page 2'!A43&lt;&gt;"",'DAL Monthly (Report) Page 2'!A43,"")</f>
        <v>123478</v>
      </c>
      <c r="C63" s="29" t="str">
        <f>IF('DAL Monthly (Report) Page 2'!A43&lt;&gt;"",TEXT('DAL Monthly (Report) Page 2'!C43,"mmddyyyy")&amp;TEXT('DAL Monthly (Report) Page 2'!D43,"hhmmss"),"")</f>
        <v>08222001022100</v>
      </c>
      <c r="D63" s="29" t="str">
        <f>IF('DAL Monthly (Report) Page 2'!A43&lt;&gt;"",TEXT('DAL Monthly (Report) Page 2'!E43,"mmddyyyy")&amp;TEXT('DAL Monthly (Report) Page 2'!F43,"hhmmss"),"")</f>
        <v>08222001152000</v>
      </c>
      <c r="E63" s="29">
        <f>IF('DAL Monthly (Report) Page 2'!A43&lt;&gt;"",'DAL Monthly (Report) Page 2'!H43,"")</f>
        <v>65500</v>
      </c>
    </row>
    <row r="64" spans="1:5" ht="15">
      <c r="A64" s="29" t="str">
        <f>IF('DAL Monthly (Report) Page 2'!A44&lt;&gt;"",'DAL Monthly (Report) Page 2'!C$12,"")</f>
        <v>01700</v>
      </c>
      <c r="B64" s="29">
        <f>IF('DAL Monthly (Report) Page 2'!A44&lt;&gt;"",'DAL Monthly (Report) Page 2'!A44,"")</f>
        <v>123479</v>
      </c>
      <c r="C64" s="29" t="str">
        <f>IF('DAL Monthly (Report) Page 2'!A44&lt;&gt;"",TEXT('DAL Monthly (Report) Page 2'!C44,"mmddyyyy")&amp;TEXT('DAL Monthly (Report) Page 2'!D44,"hhmmss"),"")</f>
        <v>08232001022200</v>
      </c>
      <c r="D64" s="29" t="str">
        <f>IF('DAL Monthly (Report) Page 2'!A44&lt;&gt;"",TEXT('DAL Monthly (Report) Page 2'!E44,"mmddyyyy")&amp;TEXT('DAL Monthly (Report) Page 2'!F44,"hhmmss"),"")</f>
        <v>08232001152100</v>
      </c>
      <c r="E64" s="29">
        <f>IF('DAL Monthly (Report) Page 2'!A44&lt;&gt;"",'DAL Monthly (Report) Page 2'!H44,"")</f>
        <v>66500</v>
      </c>
    </row>
    <row r="65" spans="1:5" ht="15">
      <c r="A65" s="29" t="str">
        <f>IF('DAL Monthly (Report) Page 2'!A45&lt;&gt;"",'DAL Monthly (Report) Page 2'!C$12,"")</f>
        <v>01700</v>
      </c>
      <c r="B65" s="29">
        <f>IF('DAL Monthly (Report) Page 2'!A45&lt;&gt;"",'DAL Monthly (Report) Page 2'!A45,"")</f>
        <v>123480</v>
      </c>
      <c r="C65" s="29" t="str">
        <f>IF('DAL Monthly (Report) Page 2'!A45&lt;&gt;"",TEXT('DAL Monthly (Report) Page 2'!C45,"mmddyyyy")&amp;TEXT('DAL Monthly (Report) Page 2'!D45,"hhmmss"),"")</f>
        <v>08242001022300</v>
      </c>
      <c r="D65" s="29" t="str">
        <f>IF('DAL Monthly (Report) Page 2'!A45&lt;&gt;"",TEXT('DAL Monthly (Report) Page 2'!E45,"mmddyyyy")&amp;TEXT('DAL Monthly (Report) Page 2'!F45,"hhmmss"),"")</f>
        <v>08242001152200</v>
      </c>
      <c r="E65" s="29">
        <f>IF('DAL Monthly (Report) Page 2'!A45&lt;&gt;"",'DAL Monthly (Report) Page 2'!H45,"")</f>
        <v>67500</v>
      </c>
    </row>
    <row r="66" spans="1:5" ht="15">
      <c r="A66" s="29" t="str">
        <f>IF('DAL Monthly (Report) Page 2'!A46&lt;&gt;"",'DAL Monthly (Report) Page 2'!C$12,"")</f>
        <v>01700</v>
      </c>
      <c r="B66" s="29">
        <f>IF('DAL Monthly (Report) Page 2'!A46&lt;&gt;"",'DAL Monthly (Report) Page 2'!A46,"")</f>
        <v>123481</v>
      </c>
      <c r="C66" s="29" t="str">
        <f>IF('DAL Monthly (Report) Page 2'!A46&lt;&gt;"",TEXT('DAL Monthly (Report) Page 2'!C46,"mmddyyyy")&amp;TEXT('DAL Monthly (Report) Page 2'!D46,"hhmmss"),"")</f>
        <v>08252001022400</v>
      </c>
      <c r="D66" s="29" t="str">
        <f>IF('DAL Monthly (Report) Page 2'!A46&lt;&gt;"",TEXT('DAL Monthly (Report) Page 2'!E46,"mmddyyyy")&amp;TEXT('DAL Monthly (Report) Page 2'!F46,"hhmmss"),"")</f>
        <v>08252001152300</v>
      </c>
      <c r="E66" s="29">
        <f>IF('DAL Monthly (Report) Page 2'!A46&lt;&gt;"",'DAL Monthly (Report) Page 2'!H46,"")</f>
        <v>68500</v>
      </c>
    </row>
    <row r="67" spans="1:5" ht="15">
      <c r="A67" s="29" t="str">
        <f>IF('DAL Monthly (Report) Page 2'!A47&lt;&gt;"",'DAL Monthly (Report) Page 2'!C$12,"")</f>
        <v>01700</v>
      </c>
      <c r="B67" s="29">
        <f>IF('DAL Monthly (Report) Page 2'!A47&lt;&gt;"",'DAL Monthly (Report) Page 2'!A47,"")</f>
        <v>123482</v>
      </c>
      <c r="C67" s="29" t="str">
        <f>IF('DAL Monthly (Report) Page 2'!A47&lt;&gt;"",TEXT('DAL Monthly (Report) Page 2'!C47,"mmddyyyy")&amp;TEXT('DAL Monthly (Report) Page 2'!D47,"hhmmss"),"")</f>
        <v>08262001022500</v>
      </c>
      <c r="D67" s="29" t="str">
        <f>IF('DAL Monthly (Report) Page 2'!A47&lt;&gt;"",TEXT('DAL Monthly (Report) Page 2'!E47,"mmddyyyy")&amp;TEXT('DAL Monthly (Report) Page 2'!F47,"hhmmss"),"")</f>
        <v>08262001152400</v>
      </c>
      <c r="E67" s="29">
        <f>IF('DAL Monthly (Report) Page 2'!A47&lt;&gt;"",'DAL Monthly (Report) Page 2'!H47,"")</f>
        <v>69500</v>
      </c>
    </row>
    <row r="68" spans="1:5" ht="15">
      <c r="A68" s="29" t="str">
        <f>IF('DAL Monthly (Report) Page 2'!A48&lt;&gt;"",'DAL Monthly (Report) Page 2'!C$12,"")</f>
        <v>01700</v>
      </c>
      <c r="B68" s="29">
        <f>IF('DAL Monthly (Report) Page 2'!A48&lt;&gt;"",'DAL Monthly (Report) Page 2'!A48,"")</f>
        <v>123456</v>
      </c>
      <c r="C68" s="29" t="str">
        <f>IF('DAL Monthly (Report) Page 2'!A48&lt;&gt;"",TEXT('DAL Monthly (Report) Page 2'!C48,"mmddyyyy")&amp;TEXT('DAL Monthly (Report) Page 2'!D48,"hhmmss"),"")</f>
        <v>08012001010203</v>
      </c>
      <c r="D68" s="29" t="str">
        <f>IF('DAL Monthly (Report) Page 2'!A48&lt;&gt;"",TEXT('DAL Monthly (Report) Page 2'!E48,"mmddyyyy")&amp;TEXT('DAL Monthly (Report) Page 2'!F48,"hhmmss"),"")</f>
        <v>08022001130301</v>
      </c>
      <c r="E68" s="29">
        <f>IF('DAL Monthly (Report) Page 2'!A48&lt;&gt;"",'DAL Monthly (Report) Page 2'!H48,"")</f>
        <v>45123</v>
      </c>
    </row>
    <row r="69" spans="1:5" ht="15">
      <c r="A69" s="29" t="str">
        <f>IF('DAL Monthly (Report) Page 2'!A49&lt;&gt;"",'DAL Monthly (Report) Page 2'!C$12,"")</f>
        <v>01700</v>
      </c>
      <c r="B69" s="29">
        <f>IF('DAL Monthly (Report) Page 2'!A49&lt;&gt;"",'DAL Monthly (Report) Page 2'!A49,"")</f>
        <v>123457</v>
      </c>
      <c r="C69" s="29" t="str">
        <f>IF('DAL Monthly (Report) Page 2'!A49&lt;&gt;"",TEXT('DAL Monthly (Report) Page 2'!C49,"mmddyyyy")&amp;TEXT('DAL Monthly (Report) Page 2'!D49,"hhmmss"),"")</f>
        <v>08022001020100</v>
      </c>
      <c r="D69" s="29" t="str">
        <f>IF('DAL Monthly (Report) Page 2'!A49&lt;&gt;"",TEXT('DAL Monthly (Report) Page 2'!E49,"mmddyyyy")&amp;TEXT('DAL Monthly (Report) Page 2'!F49,"hhmmss"),"")</f>
        <v>08022001150000</v>
      </c>
      <c r="E69" s="29">
        <f>IF('DAL Monthly (Report) Page 2'!A49&lt;&gt;"",'DAL Monthly (Report) Page 2'!H49,"")</f>
        <v>45500</v>
      </c>
    </row>
    <row r="70" spans="1:5" ht="15">
      <c r="A70" s="29" t="str">
        <f>IF('DAL Monthly (Report) Page 2'!A50&lt;&gt;"",'DAL Monthly (Report) Page 2'!C$12,"")</f>
        <v>01700</v>
      </c>
      <c r="B70" s="29">
        <f>IF('DAL Monthly (Report) Page 2'!A50&lt;&gt;"",'DAL Monthly (Report) Page 2'!A50,"")</f>
        <v>123459</v>
      </c>
      <c r="C70" s="29" t="str">
        <f>IF('DAL Monthly (Report) Page 2'!A50&lt;&gt;"",TEXT('DAL Monthly (Report) Page 2'!C50,"mmddyyyy")&amp;TEXT('DAL Monthly (Report) Page 2'!D50,"hhmmss"),"")</f>
        <v>08032001020200</v>
      </c>
      <c r="D70" s="29" t="str">
        <f>IF('DAL Monthly (Report) Page 2'!A50&lt;&gt;"",TEXT('DAL Monthly (Report) Page 2'!E50,"mmddyyyy")&amp;TEXT('DAL Monthly (Report) Page 2'!F50,"hhmmss"),"")</f>
        <v>08032001150100</v>
      </c>
      <c r="E70" s="29">
        <f>IF('DAL Monthly (Report) Page 2'!A50&lt;&gt;"",'DAL Monthly (Report) Page 2'!H50,"")</f>
        <v>46500</v>
      </c>
    </row>
    <row r="71" spans="1:5" ht="15">
      <c r="A71" s="29" t="str">
        <f>IF('DAL Monthly (Report) Page 2'!A51&lt;&gt;"",'DAL Monthly (Report) Page 2'!C$12,"")</f>
        <v>01700</v>
      </c>
      <c r="B71" s="29">
        <f>IF('DAL Monthly (Report) Page 2'!A51&lt;&gt;"",'DAL Monthly (Report) Page 2'!A51,"")</f>
        <v>123460</v>
      </c>
      <c r="C71" s="29" t="str">
        <f>IF('DAL Monthly (Report) Page 2'!A51&lt;&gt;"",TEXT('DAL Monthly (Report) Page 2'!C51,"mmddyyyy")&amp;TEXT('DAL Monthly (Report) Page 2'!D51,"hhmmss"),"")</f>
        <v>08042001020300</v>
      </c>
      <c r="D71" s="29" t="str">
        <f>IF('DAL Monthly (Report) Page 2'!A51&lt;&gt;"",TEXT('DAL Monthly (Report) Page 2'!E51,"mmddyyyy")&amp;TEXT('DAL Monthly (Report) Page 2'!F51,"hhmmss"),"")</f>
        <v>08042001150200</v>
      </c>
      <c r="E71" s="29">
        <f>IF('DAL Monthly (Report) Page 2'!A51&lt;&gt;"",'DAL Monthly (Report) Page 2'!H51,"")</f>
        <v>47500</v>
      </c>
    </row>
    <row r="72" spans="1:5" ht="15">
      <c r="A72" s="29"/>
      <c r="B72" s="29"/>
      <c r="C72" s="29"/>
      <c r="D72" s="29"/>
      <c r="E72" s="29"/>
    </row>
    <row r="73" spans="1:5" ht="15">
      <c r="A73" s="29"/>
      <c r="B73" s="29"/>
      <c r="C73" s="29"/>
      <c r="D73" s="29"/>
      <c r="E73" s="29"/>
    </row>
    <row r="74" spans="1:5" ht="15">
      <c r="A74" s="29"/>
      <c r="B74" s="29"/>
      <c r="C74" s="29"/>
      <c r="D74" s="29"/>
      <c r="E74" s="29"/>
    </row>
    <row r="75" spans="1:5" ht="15">
      <c r="A75" s="29"/>
      <c r="B75" s="29"/>
      <c r="C75" s="29"/>
      <c r="D75" s="29"/>
      <c r="E75" s="29"/>
    </row>
    <row r="76" spans="1:5" ht="15">
      <c r="A76" s="29"/>
      <c r="B76" s="29"/>
      <c r="C76" s="29"/>
      <c r="D76" s="29"/>
      <c r="E76" s="29"/>
    </row>
    <row r="77" spans="1:5" ht="15">
      <c r="A77" s="29"/>
      <c r="B77" s="29"/>
      <c r="C77" s="29"/>
      <c r="D77" s="29"/>
      <c r="E77" s="29"/>
    </row>
    <row r="78" spans="1:5" ht="15">
      <c r="A78" s="29"/>
      <c r="B78" s="29"/>
      <c r="C78" s="29"/>
      <c r="D78" s="29"/>
      <c r="E78" s="29"/>
    </row>
    <row r="79" spans="1:5" ht="15">
      <c r="A79" s="29"/>
      <c r="B79" s="29"/>
      <c r="C79" s="29"/>
      <c r="D79" s="29"/>
      <c r="E79" s="29"/>
    </row>
    <row r="80" spans="1:5" ht="15">
      <c r="A80" s="29"/>
      <c r="B80" s="29"/>
      <c r="C80" s="29"/>
      <c r="D80" s="29"/>
      <c r="E80" s="29"/>
    </row>
    <row r="81" spans="1:5" ht="15">
      <c r="A81" s="29"/>
      <c r="B81" s="29"/>
      <c r="C81" s="29"/>
      <c r="D81" s="29"/>
      <c r="E81" s="29"/>
    </row>
    <row r="82" spans="1:5" ht="15">
      <c r="A82" s="29"/>
      <c r="B82" s="29"/>
      <c r="C82" s="29"/>
      <c r="D82" s="29"/>
      <c r="E82" s="29"/>
    </row>
    <row r="83" spans="1:5" ht="15">
      <c r="A83" s="29"/>
      <c r="B83" s="29"/>
      <c r="C83" s="29"/>
      <c r="D83" s="29"/>
      <c r="E83" s="29"/>
    </row>
    <row r="84" spans="1:5" ht="15">
      <c r="A84" s="29"/>
      <c r="B84" s="29"/>
      <c r="C84" s="29"/>
      <c r="D84" s="29"/>
      <c r="E84" s="29"/>
    </row>
    <row r="85" spans="1:5" ht="15">
      <c r="A85" s="29"/>
      <c r="B85" s="29"/>
      <c r="C85" s="29"/>
      <c r="D85" s="29"/>
      <c r="E85" s="29"/>
    </row>
    <row r="86" spans="1:5" ht="15.75">
      <c r="A86" s="49"/>
      <c r="B86" s="49"/>
      <c r="C86" s="49"/>
      <c r="D86" s="49"/>
      <c r="E86" s="49"/>
    </row>
    <row r="87" spans="1:5" ht="15.75">
      <c r="A87" s="49"/>
      <c r="B87" s="49"/>
      <c r="C87" s="49"/>
      <c r="D87" s="49"/>
      <c r="E87" s="49"/>
    </row>
    <row r="88" spans="1:5" ht="15.75">
      <c r="A88" s="49"/>
      <c r="B88" s="49"/>
      <c r="C88" s="49"/>
      <c r="D88" s="49"/>
      <c r="E88" s="49"/>
    </row>
    <row r="89" spans="1:5" ht="15.75">
      <c r="A89" s="49"/>
      <c r="B89" s="49"/>
      <c r="C89" s="49"/>
      <c r="D89" s="49"/>
      <c r="E89" s="49"/>
    </row>
    <row r="90" spans="1:5" ht="15.75">
      <c r="A90" s="49"/>
      <c r="B90" s="49"/>
      <c r="C90" s="49"/>
      <c r="D90" s="49"/>
      <c r="E90" s="49"/>
    </row>
    <row r="91" spans="1:5" ht="15.75">
      <c r="A91" s="49"/>
      <c r="B91" s="49"/>
      <c r="C91" s="49"/>
      <c r="D91" s="49"/>
      <c r="E91" s="49"/>
    </row>
    <row r="92" spans="1:5" ht="15.75">
      <c r="A92" s="49"/>
      <c r="B92" s="49"/>
      <c r="C92" s="49"/>
      <c r="D92" s="49"/>
      <c r="E92" s="49"/>
    </row>
    <row r="93" spans="1:5" ht="15.75">
      <c r="A93" s="49"/>
      <c r="B93" s="49"/>
      <c r="C93" s="49"/>
      <c r="D93" s="49"/>
      <c r="E93" s="49"/>
    </row>
    <row r="94" spans="1:5" ht="15.75">
      <c r="A94" s="49"/>
      <c r="B94" s="49"/>
      <c r="C94" s="49"/>
      <c r="D94" s="49"/>
      <c r="E94" s="49"/>
    </row>
    <row r="95" spans="1:5" ht="15.75">
      <c r="A95" s="49"/>
      <c r="B95" s="49"/>
      <c r="C95" s="49"/>
      <c r="D95" s="49"/>
      <c r="E95" s="49"/>
    </row>
    <row r="96" spans="1:5" ht="15.75">
      <c r="A96" s="49"/>
      <c r="B96" s="49"/>
      <c r="C96" s="49"/>
      <c r="D96" s="49"/>
      <c r="E96" s="49"/>
    </row>
    <row r="97" spans="1:5" ht="15.75">
      <c r="A97" s="49"/>
      <c r="B97" s="49"/>
      <c r="C97" s="49"/>
      <c r="D97" s="49"/>
      <c r="E97" s="49"/>
    </row>
    <row r="98" spans="1:5" ht="15.75">
      <c r="A98" s="49"/>
      <c r="B98" s="49"/>
      <c r="C98" s="49"/>
      <c r="D98" s="49"/>
      <c r="E98" s="49"/>
    </row>
    <row r="99" spans="1:5" ht="15.75">
      <c r="A99" s="49"/>
      <c r="B99" s="49"/>
      <c r="C99" s="49"/>
      <c r="D99" s="49"/>
      <c r="E99" s="49"/>
    </row>
    <row r="100" spans="1:5" ht="15.75">
      <c r="A100" s="49"/>
      <c r="B100" s="49"/>
      <c r="C100" s="49"/>
      <c r="D100" s="49"/>
      <c r="E100" s="49"/>
    </row>
    <row r="101" spans="1:5" ht="15.75">
      <c r="A101" s="49"/>
      <c r="B101" s="49"/>
      <c r="C101" s="49"/>
      <c r="D101" s="49"/>
      <c r="E101" s="49"/>
    </row>
    <row r="102" spans="1:5" ht="15.75">
      <c r="A102" s="49"/>
      <c r="B102" s="49"/>
      <c r="C102" s="49"/>
      <c r="D102" s="49"/>
      <c r="E102" s="49"/>
    </row>
    <row r="103" spans="1:5" ht="15.75">
      <c r="A103" s="49"/>
      <c r="B103" s="49"/>
      <c r="C103" s="49"/>
      <c r="D103" s="49"/>
      <c r="E103" s="49"/>
    </row>
    <row r="104" spans="1:5" ht="15.75">
      <c r="A104" s="49"/>
      <c r="B104" s="49"/>
      <c r="C104" s="49"/>
      <c r="D104" s="49"/>
      <c r="E104" s="49"/>
    </row>
    <row r="105" spans="1:5" ht="15.75">
      <c r="A105" s="49"/>
      <c r="B105" s="49"/>
      <c r="C105" s="49"/>
      <c r="D105" s="49"/>
      <c r="E105" s="49"/>
    </row>
    <row r="106" spans="1:5" ht="15.75">
      <c r="A106" s="49"/>
      <c r="B106" s="49"/>
      <c r="C106" s="49"/>
      <c r="D106" s="49"/>
      <c r="E106" s="49"/>
    </row>
    <row r="107" spans="1:5" ht="15.75">
      <c r="A107" s="49"/>
      <c r="B107" s="49"/>
      <c r="C107" s="49"/>
      <c r="D107" s="49"/>
      <c r="E107" s="49"/>
    </row>
    <row r="108" spans="1:5" ht="15.75">
      <c r="A108" s="49"/>
      <c r="B108" s="49"/>
      <c r="C108" s="49"/>
      <c r="D108" s="49"/>
      <c r="E108" s="49"/>
    </row>
    <row r="109" spans="1:5" ht="15.75">
      <c r="A109" s="49"/>
      <c r="B109" s="49"/>
      <c r="C109" s="49"/>
      <c r="D109" s="49"/>
      <c r="E109" s="49"/>
    </row>
    <row r="110" spans="1:5" ht="15.75">
      <c r="A110" s="49"/>
      <c r="B110" s="49"/>
      <c r="C110" s="49"/>
      <c r="D110" s="49"/>
      <c r="E110" s="49"/>
    </row>
    <row r="111" spans="1:5" ht="15.75">
      <c r="A111" s="49"/>
      <c r="B111" s="49"/>
      <c r="C111" s="49"/>
      <c r="D111" s="49"/>
      <c r="E111" s="49"/>
    </row>
    <row r="112" spans="1:5" ht="15.75">
      <c r="A112" s="49"/>
      <c r="B112" s="49"/>
      <c r="C112" s="49"/>
      <c r="D112" s="49"/>
      <c r="E112" s="49"/>
    </row>
    <row r="113" spans="1:5" ht="15.75">
      <c r="A113" s="49"/>
      <c r="B113" s="49"/>
      <c r="C113" s="49"/>
      <c r="D113" s="49"/>
      <c r="E113" s="49"/>
    </row>
    <row r="114" spans="1:5" ht="15.75">
      <c r="A114" s="49"/>
      <c r="B114" s="49"/>
      <c r="C114" s="49"/>
      <c r="D114" s="49"/>
      <c r="E114" s="49"/>
    </row>
    <row r="115" spans="1:5" ht="15.75">
      <c r="A115" s="49"/>
      <c r="B115" s="49"/>
      <c r="C115" s="49"/>
      <c r="D115" s="49"/>
      <c r="E115" s="49"/>
    </row>
    <row r="116" spans="1:5" ht="15.75">
      <c r="A116" s="49"/>
      <c r="B116" s="49"/>
      <c r="C116" s="49"/>
      <c r="D116" s="49"/>
      <c r="E116" s="49"/>
    </row>
    <row r="117" spans="1:5" ht="15.75">
      <c r="A117" s="49"/>
      <c r="B117" s="49"/>
      <c r="C117" s="49"/>
      <c r="D117" s="49"/>
      <c r="E117" s="49"/>
    </row>
    <row r="118" spans="1:5" ht="15.75">
      <c r="A118" s="49"/>
      <c r="B118" s="49"/>
      <c r="C118" s="49"/>
      <c r="D118" s="49"/>
      <c r="E118" s="49"/>
    </row>
    <row r="119" spans="1:5" ht="15.75">
      <c r="A119" s="49"/>
      <c r="B119" s="49"/>
      <c r="C119" s="49"/>
      <c r="D119" s="49"/>
      <c r="E119" s="49"/>
    </row>
    <row r="120" spans="1:5" ht="15.75">
      <c r="A120" s="49"/>
      <c r="B120" s="49"/>
      <c r="C120" s="49"/>
      <c r="D120" s="49"/>
      <c r="E120" s="49"/>
    </row>
    <row r="121" spans="1:5" ht="15.75">
      <c r="A121" s="49"/>
      <c r="B121" s="49"/>
      <c r="C121" s="49"/>
      <c r="D121" s="49"/>
      <c r="E121" s="49"/>
    </row>
    <row r="122" spans="1:5" ht="15.75">
      <c r="A122" s="49"/>
      <c r="B122" s="49"/>
      <c r="C122" s="49"/>
      <c r="D122" s="49"/>
      <c r="E122" s="49"/>
    </row>
    <row r="123" spans="1:5" ht="15.75">
      <c r="A123" s="49"/>
      <c r="B123" s="49"/>
      <c r="C123" s="49"/>
      <c r="D123" s="49"/>
      <c r="E123" s="49"/>
    </row>
    <row r="124" spans="1:5" ht="15.75">
      <c r="A124" s="49"/>
      <c r="B124" s="49"/>
      <c r="C124" s="49"/>
      <c r="D124" s="49"/>
      <c r="E124" s="49"/>
    </row>
    <row r="125" spans="1:5" ht="15.75">
      <c r="A125" s="49"/>
      <c r="B125" s="49"/>
      <c r="C125" s="49"/>
      <c r="D125" s="49"/>
      <c r="E125" s="49"/>
    </row>
    <row r="126" spans="1:5" ht="15.75">
      <c r="A126" s="49"/>
      <c r="B126" s="49"/>
      <c r="C126" s="49"/>
      <c r="D126" s="49"/>
      <c r="E126" s="49"/>
    </row>
    <row r="127" spans="1:5" ht="15.75">
      <c r="A127" s="49"/>
      <c r="B127" s="49"/>
      <c r="C127" s="49"/>
      <c r="D127" s="49"/>
      <c r="E127" s="49"/>
    </row>
    <row r="128" spans="1:5" ht="15.75">
      <c r="A128" s="49"/>
      <c r="B128" s="49"/>
      <c r="C128" s="49"/>
      <c r="D128" s="49"/>
      <c r="E128" s="49"/>
    </row>
    <row r="129" spans="1:5" ht="15.75">
      <c r="A129" s="49"/>
      <c r="B129" s="49"/>
      <c r="C129" s="49"/>
      <c r="D129" s="49"/>
      <c r="E129" s="49"/>
    </row>
    <row r="130" spans="1:5" ht="15.75">
      <c r="A130" s="49"/>
      <c r="B130" s="49"/>
      <c r="C130" s="49"/>
      <c r="D130" s="49"/>
      <c r="E130" s="49"/>
    </row>
  </sheetData>
  <sheetProtection password="8BA1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tuser</dc:creator>
  <cp:keywords/>
  <dc:description/>
  <cp:lastModifiedBy>tuser</cp:lastModifiedBy>
  <cp:lastPrinted>2002-02-15T23:35:06Z</cp:lastPrinted>
  <dcterms:created xsi:type="dcterms:W3CDTF">2001-09-10T18:43:58Z</dcterms:created>
  <dcterms:modified xsi:type="dcterms:W3CDTF">2002-01-15T17:22:55Z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