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90" yWindow="0" windowWidth="15060" windowHeight="10970" tabRatio="750"/>
  </bookViews>
  <sheets>
    <sheet name="Phase 3 PM for PM Flat" sheetId="1" r:id="rId1"/>
    <sheet name="A" sheetId="2" state="hidden" r:id="rId2"/>
    <sheet name="B" sheetId="29108" state="hidden" r:id="rId3"/>
    <sheet name="C" sheetId="2696" state="hidden" r:id="rId4"/>
    <sheet name="Import Report" sheetId="2316" r:id="rId5"/>
    <sheet name="PM Report-Single Certification" sheetId="2819" r:id="rId6"/>
  </sheets>
  <externalReferences>
    <externalReference r:id="rId7"/>
    <externalReference r:id="rId8"/>
    <externalReference r:id="rId9"/>
  </externalReferences>
  <definedNames>
    <definedName name="a">[1]Optimizer!$B$28</definedName>
    <definedName name="DD" localSheetId="4" hidden="1">{"'Run Model'!$A$1:$K$29","'Run Model'!$A$1:$K$29"}</definedName>
    <definedName name="DD" hidden="1">{"'Run Model'!$A$1:$K$29","'Run Model'!$A$1:$K$29"}</definedName>
    <definedName name="HTML_CodePage" hidden="1">1252</definedName>
    <definedName name="HTML_Control" localSheetId="4" hidden="1">{"'Run Model'!$A$1:$K$29","'Run Model'!$A$1:$K$29"}</definedName>
    <definedName name="HTML_Control" hidden="1">{"'Run Model'!$A$1:$K$29","'Run Model'!$A$1:$K$29"}</definedName>
    <definedName name="HTML_Description" hidden="1">"Main Menu"</definedName>
    <definedName name="HTML_Email" hidden="1">"nbrd@chevron.com"</definedName>
    <definedName name="HTML_Header" hidden="1">"Field Configuration &amp; Facilities Selection Tool"</definedName>
    <definedName name="HTML_LastUpdate" hidden="1">"1/5/2000"</definedName>
    <definedName name="HTML_LineAfter" hidden="1">TRUE</definedName>
    <definedName name="HTML_LineBefore" hidden="1">TRUE</definedName>
    <definedName name="HTML_Name" hidden="1">"Annie Brady"</definedName>
    <definedName name="HTML_OBDlg2" hidden="1">TRUE</definedName>
    <definedName name="HTML_OBDlg4" hidden="1">TRUE</definedName>
    <definedName name="HTML_OS" hidden="1">0</definedName>
    <definedName name="HTML_PathFile" hidden="1">"N:\HelpHTML.htm"</definedName>
    <definedName name="HTML_Title" hidden="1">"FieldOptR20"</definedName>
    <definedName name="INPUT">#REF!</definedName>
    <definedName name="iPropsOld">#REF!</definedName>
    <definedName name="MaxsOld">#REF!</definedName>
    <definedName name="MinsOld">#REF!</definedName>
    <definedName name="OUTPUT">#REF!</definedName>
    <definedName name="_xlnm.Print_Area" localSheetId="1">A!$M$197:$AG$232</definedName>
    <definedName name="_xlnm.Print_Area" localSheetId="2">B!$A$71:$E$71</definedName>
    <definedName name="_xlnm.Print_Area" localSheetId="4">'Import Report'!$A$1:$K$51</definedName>
    <definedName name="_xlnm.Print_Area" localSheetId="0">'Phase 3 PM for PM Flat'!$A$42:$E$72</definedName>
    <definedName name="_xlnm.Print_Area" localSheetId="5">'PM Report-Single Certification'!$A$1:$G$50</definedName>
    <definedName name="Season2">[2]Optimizer!$D$11</definedName>
    <definedName name="SetEvap">#REF!</definedName>
    <definedName name="StarLimsEvapOld">#REF!</definedName>
    <definedName name="StarLimsModelOld">#REF!</definedName>
    <definedName name="StarLimsSeason">[3]Sheet1!$B$7</definedName>
    <definedName name="StarLimsSeasonOld">#REF!</definedName>
    <definedName name="SummerOld">#REF!</definedName>
    <definedName name="WinterOld">#REF!</definedName>
  </definedNames>
  <calcPr calcId="145621"/>
</workbook>
</file>

<file path=xl/calcChain.xml><?xml version="1.0" encoding="utf-8"?>
<calcChain xmlns="http://schemas.openxmlformats.org/spreadsheetml/2006/main">
  <c r="A50" i="2819" l="1"/>
  <c r="B13" i="2819"/>
  <c r="A13" i="2819"/>
  <c r="C43" i="1" l="1"/>
  <c r="C42" i="1"/>
  <c r="E28" i="1" s="1"/>
  <c r="A29" i="1"/>
  <c r="A28" i="1"/>
  <c r="A30" i="1" l="1"/>
  <c r="F20" i="2819"/>
  <c r="A43" i="1"/>
  <c r="E50" i="1"/>
  <c r="A27" i="2819" l="1"/>
  <c r="E30" i="1"/>
  <c r="B11" i="2"/>
  <c r="E43" i="1"/>
  <c r="B12" i="2" l="1"/>
  <c r="C81" i="2" s="1"/>
  <c r="B13" i="2"/>
  <c r="C82" i="2" s="1"/>
  <c r="B14" i="2"/>
  <c r="C83" i="2" s="1"/>
  <c r="B15" i="2"/>
  <c r="C84" i="2"/>
  <c r="B17" i="2"/>
  <c r="C17" i="2"/>
  <c r="B18" i="2"/>
  <c r="R113" i="2"/>
  <c r="C18" i="2"/>
  <c r="S207" i="2"/>
  <c r="B20" i="2"/>
  <c r="C86" i="2"/>
  <c r="B21" i="2"/>
  <c r="B28" i="2"/>
  <c r="D28" i="2" s="1"/>
  <c r="B29" i="2"/>
  <c r="D29" i="2" s="1"/>
  <c r="B30" i="2"/>
  <c r="D30" i="2" s="1"/>
  <c r="B31" i="2"/>
  <c r="D31" i="2" s="1"/>
  <c r="B32" i="2"/>
  <c r="D32" i="2" s="1"/>
  <c r="B33" i="2"/>
  <c r="D33" i="2" s="1"/>
  <c r="B84" i="2"/>
  <c r="C111" i="2" s="1"/>
  <c r="C87" i="2"/>
  <c r="E115" i="2" s="1"/>
  <c r="P95" i="2"/>
  <c r="B107" i="2"/>
  <c r="B117" i="2"/>
  <c r="C107" i="2"/>
  <c r="D107" i="2"/>
  <c r="D117" i="2" s="1"/>
  <c r="E107" i="2"/>
  <c r="F107" i="2"/>
  <c r="G107" i="2"/>
  <c r="H107" i="2"/>
  <c r="I107" i="2"/>
  <c r="J107" i="2"/>
  <c r="K107" i="2"/>
  <c r="B108" i="2"/>
  <c r="B119" i="2"/>
  <c r="C108" i="2"/>
  <c r="D108" i="2"/>
  <c r="D119" i="2" s="1"/>
  <c r="B109" i="2"/>
  <c r="B120" i="2" s="1"/>
  <c r="C109" i="2"/>
  <c r="C120" i="2"/>
  <c r="D109" i="2"/>
  <c r="B110" i="2"/>
  <c r="B116" i="2" s="1"/>
  <c r="C110" i="2"/>
  <c r="C116" i="2"/>
  <c r="D110" i="2"/>
  <c r="B111" i="2"/>
  <c r="B134" i="2" s="1"/>
  <c r="S113" i="2"/>
  <c r="Z113" i="2"/>
  <c r="AF113" i="2"/>
  <c r="AG113" i="2"/>
  <c r="B115" i="2"/>
  <c r="C115" i="2"/>
  <c r="D115" i="2"/>
  <c r="J115" i="2"/>
  <c r="D116" i="2"/>
  <c r="C117" i="2"/>
  <c r="B118" i="2"/>
  <c r="C119" i="2"/>
  <c r="D120" i="2"/>
  <c r="C122" i="2"/>
  <c r="D122" i="2"/>
  <c r="B124" i="2"/>
  <c r="B125" i="2"/>
  <c r="C125" i="2"/>
  <c r="D125" i="2"/>
  <c r="D126" i="2"/>
  <c r="B138" i="2"/>
  <c r="C138" i="2"/>
  <c r="D138" i="2"/>
  <c r="E138" i="2"/>
  <c r="F138" i="2"/>
  <c r="G138" i="2"/>
  <c r="H138" i="2"/>
  <c r="I138" i="2"/>
  <c r="J138" i="2"/>
  <c r="K138" i="2"/>
  <c r="B178" i="2"/>
  <c r="B180" i="2"/>
  <c r="C208" i="2" s="1"/>
  <c r="C180" i="2"/>
  <c r="F208" i="2" s="1"/>
  <c r="C181" i="2"/>
  <c r="F209" i="2" s="1"/>
  <c r="P189" i="2"/>
  <c r="B201" i="2"/>
  <c r="B210" i="2" s="1"/>
  <c r="C201" i="2"/>
  <c r="D201" i="2"/>
  <c r="D210" i="2" s="1"/>
  <c r="E201" i="2"/>
  <c r="F201" i="2"/>
  <c r="G201" i="2"/>
  <c r="H201" i="2"/>
  <c r="I201" i="2"/>
  <c r="J201" i="2"/>
  <c r="K201" i="2"/>
  <c r="B202" i="2"/>
  <c r="B212" i="2" s="1"/>
  <c r="C202" i="2"/>
  <c r="D202" i="2"/>
  <c r="D212" i="2" s="1"/>
  <c r="B203" i="2"/>
  <c r="C203" i="2"/>
  <c r="C216" i="2" s="1"/>
  <c r="D203" i="2"/>
  <c r="B204" i="2"/>
  <c r="B220" i="2" s="1"/>
  <c r="C204" i="2"/>
  <c r="D204" i="2"/>
  <c r="D220" i="2" s="1"/>
  <c r="B205" i="2"/>
  <c r="B227" i="2" s="1"/>
  <c r="C205" i="2"/>
  <c r="D205" i="2"/>
  <c r="D227" i="2" s="1"/>
  <c r="Z207" i="2"/>
  <c r="B208" i="2"/>
  <c r="B226" i="2" s="1"/>
  <c r="E208" i="2"/>
  <c r="E226" i="2" s="1"/>
  <c r="B209" i="2"/>
  <c r="C209" i="2"/>
  <c r="D209" i="2"/>
  <c r="G209" i="2"/>
  <c r="C210" i="2"/>
  <c r="B211" i="2"/>
  <c r="C211" i="2"/>
  <c r="D211" i="2"/>
  <c r="C212" i="2"/>
  <c r="B213" i="2"/>
  <c r="C213" i="2"/>
  <c r="D213" i="2"/>
  <c r="C214" i="2"/>
  <c r="B216" i="2"/>
  <c r="D216" i="2"/>
  <c r="B218" i="2"/>
  <c r="C218" i="2"/>
  <c r="D218" i="2"/>
  <c r="B219" i="2"/>
  <c r="D219" i="2"/>
  <c r="C220" i="2"/>
  <c r="B223" i="2"/>
  <c r="B224" i="2"/>
  <c r="D224" i="2"/>
  <c r="C227" i="2"/>
  <c r="B228" i="2"/>
  <c r="C228" i="2"/>
  <c r="D228" i="2"/>
  <c r="B231" i="2"/>
  <c r="C231" i="2"/>
  <c r="D231" i="2"/>
  <c r="B232" i="2"/>
  <c r="C232" i="2"/>
  <c r="D232" i="2"/>
  <c r="E232" i="2"/>
  <c r="F232" i="2"/>
  <c r="G232" i="2"/>
  <c r="H232" i="2"/>
  <c r="I232" i="2"/>
  <c r="J232" i="2"/>
  <c r="K232" i="2"/>
  <c r="C7" i="29108"/>
  <c r="E7" i="29108" s="1"/>
  <c r="D37" i="29108" s="1"/>
  <c r="C11" i="29108"/>
  <c r="E11" i="29108"/>
  <c r="I39" i="29108" s="1"/>
  <c r="E18" i="29108"/>
  <c r="C22" i="29108"/>
  <c r="D22" i="29108"/>
  <c r="E22" i="29108"/>
  <c r="F22" i="29108"/>
  <c r="C23" i="29108"/>
  <c r="D23" i="29108"/>
  <c r="E23" i="29108"/>
  <c r="F23" i="29108"/>
  <c r="C24" i="29108"/>
  <c r="D24" i="29108"/>
  <c r="E24" i="29108"/>
  <c r="F24" i="29108"/>
  <c r="C25" i="29108"/>
  <c r="D25" i="29108"/>
  <c r="E25" i="29108"/>
  <c r="F25" i="29108"/>
  <c r="C26" i="29108"/>
  <c r="D26" i="29108"/>
  <c r="E26" i="29108"/>
  <c r="F26" i="29108"/>
  <c r="C27" i="29108"/>
  <c r="D27" i="29108"/>
  <c r="E27" i="29108"/>
  <c r="F27" i="29108"/>
  <c r="C28" i="29108"/>
  <c r="D28" i="29108"/>
  <c r="E28" i="29108"/>
  <c r="F28" i="29108"/>
  <c r="C29" i="29108"/>
  <c r="D29" i="29108"/>
  <c r="E29" i="29108"/>
  <c r="F29" i="29108"/>
  <c r="C30" i="29108"/>
  <c r="D30" i="29108"/>
  <c r="E30" i="29108"/>
  <c r="F30" i="29108"/>
  <c r="C37" i="29108"/>
  <c r="G37" i="29108"/>
  <c r="I37" i="29108"/>
  <c r="C38" i="29108"/>
  <c r="G38" i="29108"/>
  <c r="M38" i="29108"/>
  <c r="D39" i="29108"/>
  <c r="G39" i="29108"/>
  <c r="H39" i="29108"/>
  <c r="B6" i="2696"/>
  <c r="C6" i="2696"/>
  <c r="E31" i="2696"/>
  <c r="Q31" i="2696" s="1"/>
  <c r="B7" i="2696"/>
  <c r="B8" i="2696"/>
  <c r="B9" i="2696"/>
  <c r="B10" i="2696"/>
  <c r="K30" i="2696"/>
  <c r="L30" i="2696"/>
  <c r="M30" i="2696"/>
  <c r="N30" i="2696"/>
  <c r="O30" i="2696"/>
  <c r="P30" i="2696"/>
  <c r="Q30" i="2696"/>
  <c r="R30" i="2696"/>
  <c r="S30" i="2696"/>
  <c r="B31" i="2696"/>
  <c r="N31" i="2696"/>
  <c r="C31" i="2696"/>
  <c r="D31" i="2696"/>
  <c r="P31" i="2696" s="1"/>
  <c r="F31" i="2696"/>
  <c r="R31" i="2696" s="1"/>
  <c r="K31" i="2696"/>
  <c r="L31" i="2696"/>
  <c r="M31" i="2696"/>
  <c r="O31" i="2696"/>
  <c r="B32" i="2696"/>
  <c r="N32" i="2696" s="1"/>
  <c r="C32" i="2696"/>
  <c r="O32" i="2696"/>
  <c r="D32" i="2696"/>
  <c r="K32" i="2696"/>
  <c r="L32" i="2696"/>
  <c r="M32" i="2696"/>
  <c r="P32" i="2696"/>
  <c r="B33" i="2696"/>
  <c r="N33" i="2696"/>
  <c r="C33" i="2696"/>
  <c r="D33" i="2696"/>
  <c r="P33" i="2696" s="1"/>
  <c r="K33" i="2696"/>
  <c r="L33" i="2696"/>
  <c r="M33" i="2696"/>
  <c r="O33" i="2696"/>
  <c r="B34" i="2696"/>
  <c r="C34" i="2696"/>
  <c r="O34" i="2696" s="1"/>
  <c r="D34" i="2696"/>
  <c r="P34" i="2696" s="1"/>
  <c r="K34" i="2696"/>
  <c r="L34" i="2696"/>
  <c r="M34" i="2696"/>
  <c r="N34" i="2696"/>
  <c r="B35" i="2696"/>
  <c r="N35" i="2696" s="1"/>
  <c r="C35" i="2696"/>
  <c r="D35" i="2696"/>
  <c r="P35" i="2696" s="1"/>
  <c r="K35" i="2696"/>
  <c r="L35" i="2696"/>
  <c r="M35" i="2696"/>
  <c r="O35" i="2696"/>
  <c r="K36" i="2696"/>
  <c r="L36" i="2696"/>
  <c r="M36" i="2696"/>
  <c r="K37" i="2696"/>
  <c r="L37" i="2696"/>
  <c r="M37" i="2696"/>
  <c r="B38" i="2696"/>
  <c r="C38" i="2696"/>
  <c r="O38" i="2696" s="1"/>
  <c r="D38" i="2696"/>
  <c r="P38" i="2696" s="1"/>
  <c r="K38" i="2696"/>
  <c r="L38" i="2696"/>
  <c r="M38" i="2696"/>
  <c r="N38" i="2696"/>
  <c r="K39" i="2696"/>
  <c r="L39" i="2696"/>
  <c r="M39" i="2696"/>
  <c r="K40" i="2696"/>
  <c r="L40" i="2696"/>
  <c r="M40" i="2696"/>
  <c r="B41" i="2696"/>
  <c r="N41" i="2696" s="1"/>
  <c r="C41" i="2696"/>
  <c r="D41" i="2696"/>
  <c r="P41" i="2696"/>
  <c r="K41" i="2696"/>
  <c r="L41" i="2696"/>
  <c r="M41" i="2696"/>
  <c r="O41" i="2696"/>
  <c r="B42" i="2696"/>
  <c r="C42" i="2696"/>
  <c r="O42" i="2696" s="1"/>
  <c r="D42" i="2696"/>
  <c r="P42" i="2696" s="1"/>
  <c r="K42" i="2696"/>
  <c r="L42" i="2696"/>
  <c r="M42" i="2696"/>
  <c r="N42" i="2696"/>
  <c r="B43" i="2696"/>
  <c r="N43" i="2696" s="1"/>
  <c r="C43" i="2696"/>
  <c r="O43" i="2696" s="1"/>
  <c r="D43" i="2696"/>
  <c r="P43" i="2696"/>
  <c r="K43" i="2696"/>
  <c r="L43" i="2696"/>
  <c r="M43" i="2696"/>
  <c r="K44" i="2696"/>
  <c r="L44" i="2696"/>
  <c r="M44" i="2696"/>
  <c r="K45" i="2696"/>
  <c r="L45" i="2696"/>
  <c r="M45" i="2696"/>
  <c r="U49" i="2696"/>
  <c r="B53" i="2696"/>
  <c r="C53" i="2696"/>
  <c r="F78" i="2696" s="1"/>
  <c r="R78" i="2696" s="1"/>
  <c r="B54" i="2696"/>
  <c r="B55" i="2696"/>
  <c r="B56" i="2696"/>
  <c r="B57" i="2696"/>
  <c r="B59" i="2696"/>
  <c r="N77" i="2696"/>
  <c r="O77" i="2696"/>
  <c r="P77" i="2696"/>
  <c r="Q77" i="2696"/>
  <c r="R77" i="2696"/>
  <c r="S77" i="2696"/>
  <c r="B78" i="2696"/>
  <c r="N78" i="2696"/>
  <c r="C78" i="2696"/>
  <c r="D78" i="2696"/>
  <c r="P78" i="2696" s="1"/>
  <c r="E78" i="2696"/>
  <c r="O78" i="2696"/>
  <c r="Q78" i="2696"/>
  <c r="B79" i="2696"/>
  <c r="N79" i="2696"/>
  <c r="C79" i="2696"/>
  <c r="D79" i="2696"/>
  <c r="P79" i="2696" s="1"/>
  <c r="O79" i="2696"/>
  <c r="B80" i="2696"/>
  <c r="C80" i="2696"/>
  <c r="O80" i="2696" s="1"/>
  <c r="D80" i="2696"/>
  <c r="N80" i="2696"/>
  <c r="P80" i="2696"/>
  <c r="B81" i="2696"/>
  <c r="C81" i="2696"/>
  <c r="D81" i="2696"/>
  <c r="N81" i="2696"/>
  <c r="O81" i="2696"/>
  <c r="P81" i="2696"/>
  <c r="B82" i="2696"/>
  <c r="N82" i="2696" s="1"/>
  <c r="C82" i="2696"/>
  <c r="O82" i="2696" s="1"/>
  <c r="D82" i="2696"/>
  <c r="P82" i="2696"/>
  <c r="B84" i="2696"/>
  <c r="C84" i="2696"/>
  <c r="O84" i="2696" s="1"/>
  <c r="D84" i="2696"/>
  <c r="N84" i="2696"/>
  <c r="P84" i="2696"/>
  <c r="B85" i="2696"/>
  <c r="N85" i="2696"/>
  <c r="C85" i="2696"/>
  <c r="D85" i="2696"/>
  <c r="P85" i="2696" s="1"/>
  <c r="O85" i="2696"/>
  <c r="B86" i="2696"/>
  <c r="C86" i="2696"/>
  <c r="O86" i="2696" s="1"/>
  <c r="D86" i="2696"/>
  <c r="N86" i="2696"/>
  <c r="P86" i="2696"/>
  <c r="B88" i="2696"/>
  <c r="N88" i="2696"/>
  <c r="C88" i="2696"/>
  <c r="D88" i="2696"/>
  <c r="P88" i="2696" s="1"/>
  <c r="O88" i="2696"/>
  <c r="B89" i="2696"/>
  <c r="N89" i="2696" s="1"/>
  <c r="C89" i="2696"/>
  <c r="D89" i="2696"/>
  <c r="P89" i="2696" s="1"/>
  <c r="O89" i="2696"/>
  <c r="B90" i="2696"/>
  <c r="N90" i="2696"/>
  <c r="C90" i="2696"/>
  <c r="D90" i="2696"/>
  <c r="P90" i="2696" s="1"/>
  <c r="O90" i="2696"/>
  <c r="B92" i="2696"/>
  <c r="N92" i="2696" s="1"/>
  <c r="C92" i="2696"/>
  <c r="O92" i="2696" s="1"/>
  <c r="D92" i="2696"/>
  <c r="P92" i="2696"/>
  <c r="U96" i="2696"/>
  <c r="A3" i="2316"/>
  <c r="F10" i="2819" s="1"/>
  <c r="F9" i="2316"/>
  <c r="J9" i="2316"/>
  <c r="F10" i="2316"/>
  <c r="F11" i="2316"/>
  <c r="E14" i="2316"/>
  <c r="A21" i="2316"/>
  <c r="A25" i="2316"/>
  <c r="A26" i="2316"/>
  <c r="A28" i="2316"/>
  <c r="A27" i="2316" s="1"/>
  <c r="A30" i="2316"/>
  <c r="A31" i="2316"/>
  <c r="D31" i="2316" s="1"/>
  <c r="A32" i="2316"/>
  <c r="A9" i="2819" s="1"/>
  <c r="A12" i="2819"/>
  <c r="J40" i="2316"/>
  <c r="B17" i="2819" s="1"/>
  <c r="A42" i="2316"/>
  <c r="G42" i="2316"/>
  <c r="A44" i="2316"/>
  <c r="A47" i="2316" s="1"/>
  <c r="A45" i="2316"/>
  <c r="A48" i="2316"/>
  <c r="E44" i="1"/>
  <c r="E45" i="1"/>
  <c r="E46" i="1"/>
  <c r="E47" i="1"/>
  <c r="E49" i="1"/>
  <c r="E51" i="1"/>
  <c r="A1" i="2819"/>
  <c r="A47" i="2819" s="1"/>
  <c r="A2" i="2819"/>
  <c r="D9" i="2819"/>
  <c r="A10" i="2819"/>
  <c r="B10" i="2819"/>
  <c r="A11" i="2819"/>
  <c r="B11" i="2819"/>
  <c r="B12" i="2819"/>
  <c r="A14" i="2819"/>
  <c r="B14" i="2819"/>
  <c r="F14" i="2819"/>
  <c r="A15" i="2819"/>
  <c r="B15" i="2819"/>
  <c r="F15" i="2819"/>
  <c r="A16" i="2819"/>
  <c r="B16" i="2819"/>
  <c r="F16" i="2819"/>
  <c r="F17" i="2819"/>
  <c r="F19" i="2819"/>
  <c r="F27" i="2819" s="1"/>
  <c r="F21" i="2819"/>
  <c r="F22" i="2819"/>
  <c r="F23" i="2819"/>
  <c r="F24" i="2819"/>
  <c r="E31" i="2819" s="1"/>
  <c r="B28" i="2819"/>
  <c r="F28" i="2819"/>
  <c r="B29" i="2819"/>
  <c r="F29" i="2819"/>
  <c r="B30" i="2819"/>
  <c r="F30" i="2819"/>
  <c r="B31" i="2819"/>
  <c r="F31" i="2819"/>
  <c r="B32" i="2819"/>
  <c r="C32" i="2819"/>
  <c r="F32" i="2819"/>
  <c r="B33" i="2819"/>
  <c r="F33" i="2819"/>
  <c r="F35" i="2819"/>
  <c r="G35" i="2819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B66" i="2"/>
  <c r="C65" i="2"/>
  <c r="C66" i="2"/>
  <c r="E65" i="2"/>
  <c r="G31" i="2696"/>
  <c r="S31" i="2696"/>
  <c r="E27" i="2819"/>
  <c r="D32" i="2316"/>
  <c r="J31" i="2316"/>
  <c r="Y207" i="2"/>
  <c r="D69" i="2"/>
  <c r="D71" i="2"/>
  <c r="D67" i="2"/>
  <c r="D72" i="2"/>
  <c r="D70" i="2"/>
  <c r="D68" i="2"/>
  <c r="D66" i="2"/>
  <c r="B72" i="2"/>
  <c r="B71" i="2"/>
  <c r="B70" i="2"/>
  <c r="B69" i="2"/>
  <c r="B68" i="2"/>
  <c r="B67" i="2"/>
  <c r="D65" i="2"/>
  <c r="E229" i="2"/>
  <c r="M37" i="29108"/>
  <c r="Y113" i="2"/>
  <c r="B65" i="2"/>
  <c r="AG207" i="2"/>
  <c r="AF207" i="2"/>
  <c r="R207" i="2"/>
  <c r="J208" i="2"/>
  <c r="H208" i="2"/>
  <c r="H229" i="2" s="1"/>
  <c r="H226" i="2"/>
  <c r="K114" i="2"/>
  <c r="K132" i="2" s="1"/>
  <c r="F114" i="2"/>
  <c r="J114" i="2"/>
  <c r="J132" i="2" s="1"/>
  <c r="G114" i="2"/>
  <c r="I114" i="2"/>
  <c r="I135" i="2" s="1"/>
  <c r="E114" i="2"/>
  <c r="C12" i="2696"/>
  <c r="G37" i="2696" s="1"/>
  <c r="H114" i="2"/>
  <c r="K208" i="2"/>
  <c r="K226" i="2" s="1"/>
  <c r="G208" i="2"/>
  <c r="G226" i="2" s="1"/>
  <c r="J226" i="2"/>
  <c r="E28" i="2819"/>
  <c r="E32" i="2819"/>
  <c r="H31" i="2316"/>
  <c r="B9" i="2819"/>
  <c r="E111" i="2"/>
  <c r="G111" i="2"/>
  <c r="I111" i="2"/>
  <c r="K111" i="2"/>
  <c r="K133" i="2" s="1"/>
  <c r="H111" i="2"/>
  <c r="C10" i="2696"/>
  <c r="E35" i="2696" s="1"/>
  <c r="Q35" i="2696" s="1"/>
  <c r="F111" i="2"/>
  <c r="J111" i="2"/>
  <c r="J133" i="2" s="1"/>
  <c r="C178" i="2"/>
  <c r="H115" i="2"/>
  <c r="F229" i="2"/>
  <c r="F226" i="2"/>
  <c r="J229" i="2"/>
  <c r="D73" i="2"/>
  <c r="C85" i="2" s="1"/>
  <c r="C73" i="2"/>
  <c r="B179" i="2" s="1"/>
  <c r="E26" i="2819"/>
  <c r="C29" i="2819"/>
  <c r="C33" i="2819"/>
  <c r="C223" i="2"/>
  <c r="C229" i="2"/>
  <c r="C226" i="2"/>
  <c r="C230" i="2"/>
  <c r="C134" i="2"/>
  <c r="C130" i="2"/>
  <c r="C133" i="2"/>
  <c r="J32" i="2316"/>
  <c r="E205" i="2"/>
  <c r="C137" i="2"/>
  <c r="C126" i="2"/>
  <c r="C124" i="2"/>
  <c r="C118" i="2"/>
  <c r="K115" i="2"/>
  <c r="I115" i="2"/>
  <c r="G115" i="2"/>
  <c r="B86" i="2"/>
  <c r="J135" i="2"/>
  <c r="H132" i="2"/>
  <c r="H135" i="2"/>
  <c r="E135" i="2"/>
  <c r="E132" i="2"/>
  <c r="G135" i="2"/>
  <c r="G132" i="2"/>
  <c r="F135" i="2"/>
  <c r="F132" i="2"/>
  <c r="G35" i="2696"/>
  <c r="K134" i="2"/>
  <c r="G133" i="2"/>
  <c r="G134" i="2"/>
  <c r="F205" i="2"/>
  <c r="C57" i="2696"/>
  <c r="E82" i="2696" s="1"/>
  <c r="Q82" i="2696" s="1"/>
  <c r="I205" i="2"/>
  <c r="G205" i="2"/>
  <c r="G228" i="2" s="1"/>
  <c r="H205" i="2"/>
  <c r="K205" i="2"/>
  <c r="K228" i="2" s="1"/>
  <c r="J205" i="2"/>
  <c r="F133" i="2"/>
  <c r="F134" i="2"/>
  <c r="H133" i="2"/>
  <c r="H134" i="2"/>
  <c r="I133" i="2"/>
  <c r="I134" i="2"/>
  <c r="E134" i="2"/>
  <c r="E133" i="2"/>
  <c r="C114" i="2"/>
  <c r="B12" i="2696"/>
  <c r="B114" i="2"/>
  <c r="D114" i="2"/>
  <c r="E227" i="2"/>
  <c r="E228" i="2"/>
  <c r="K227" i="2"/>
  <c r="G227" i="2"/>
  <c r="L67" i="2696"/>
  <c r="G82" i="2696"/>
  <c r="J228" i="2"/>
  <c r="J227" i="2"/>
  <c r="H227" i="2"/>
  <c r="H228" i="2"/>
  <c r="I228" i="2"/>
  <c r="I227" i="2"/>
  <c r="F228" i="2"/>
  <c r="F227" i="2"/>
  <c r="S35" i="2696"/>
  <c r="B135" i="2"/>
  <c r="B129" i="2"/>
  <c r="B132" i="2"/>
  <c r="B136" i="2"/>
  <c r="C129" i="2"/>
  <c r="C132" i="2"/>
  <c r="C136" i="2"/>
  <c r="C135" i="2"/>
  <c r="D135" i="2"/>
  <c r="D129" i="2"/>
  <c r="D132" i="2"/>
  <c r="D136" i="2"/>
  <c r="B37" i="2696"/>
  <c r="C37" i="2696"/>
  <c r="D37" i="2696"/>
  <c r="P37" i="2696"/>
  <c r="D39" i="2696"/>
  <c r="P39" i="2696" s="1"/>
  <c r="D45" i="2696"/>
  <c r="P45" i="2696" s="1"/>
  <c r="B39" i="2696"/>
  <c r="N39" i="2696" s="1"/>
  <c r="B45" i="2696"/>
  <c r="N45" i="2696" s="1"/>
  <c r="N37" i="2696"/>
  <c r="E35" i="2819" l="1"/>
  <c r="C31" i="2819"/>
  <c r="C27" i="2819"/>
  <c r="C25" i="2819"/>
  <c r="C35" i="2819"/>
  <c r="E30" i="2819"/>
  <c r="C26" i="2819"/>
  <c r="B73" i="2"/>
  <c r="B85" i="2" s="1"/>
  <c r="J39" i="29108"/>
  <c r="P39" i="29108" s="1"/>
  <c r="O39" i="29108"/>
  <c r="K229" i="2"/>
  <c r="F37" i="2696"/>
  <c r="I38" i="29108"/>
  <c r="C39" i="29108"/>
  <c r="J38" i="29108"/>
  <c r="H38" i="29108"/>
  <c r="N38" i="29108" s="1"/>
  <c r="D38" i="29108"/>
  <c r="D40" i="29108" s="1"/>
  <c r="J37" i="29108"/>
  <c r="P37" i="29108" s="1"/>
  <c r="H37" i="29108"/>
  <c r="N37" i="29108" s="1"/>
  <c r="F82" i="2696"/>
  <c r="R82" i="2696" s="1"/>
  <c r="J134" i="2"/>
  <c r="K209" i="2"/>
  <c r="I132" i="2"/>
  <c r="F35" i="2696"/>
  <c r="R35" i="2696" s="1"/>
  <c r="C177" i="2"/>
  <c r="A53" i="1"/>
  <c r="D111" i="2"/>
  <c r="G229" i="2"/>
  <c r="G39" i="2696"/>
  <c r="S39" i="2696" s="1"/>
  <c r="S37" i="2696"/>
  <c r="E37" i="2696"/>
  <c r="K135" i="2"/>
  <c r="C59" i="2696"/>
  <c r="C15" i="29108"/>
  <c r="C17" i="29108"/>
  <c r="F17" i="29108" s="1"/>
  <c r="G17" i="29108" s="1"/>
  <c r="C16" i="29108"/>
  <c r="G110" i="2"/>
  <c r="E110" i="2"/>
  <c r="J110" i="2"/>
  <c r="C9" i="2696"/>
  <c r="K110" i="2"/>
  <c r="F110" i="2"/>
  <c r="T98" i="2"/>
  <c r="K108" i="2"/>
  <c r="E108" i="2"/>
  <c r="M94" i="2"/>
  <c r="F108" i="2" s="1"/>
  <c r="C7" i="2696"/>
  <c r="J108" i="2"/>
  <c r="C175" i="2"/>
  <c r="I209" i="2"/>
  <c r="E209" i="2"/>
  <c r="E113" i="2"/>
  <c r="T94" i="2"/>
  <c r="U94" i="2" s="1"/>
  <c r="G108" i="2" s="1"/>
  <c r="G118" i="2" s="1"/>
  <c r="J113" i="2"/>
  <c r="K113" i="2"/>
  <c r="X94" i="2"/>
  <c r="Y94" i="2" s="1"/>
  <c r="I108" i="2" s="1"/>
  <c r="X96" i="2"/>
  <c r="Y96" i="2" s="1"/>
  <c r="I110" i="2" s="1"/>
  <c r="I126" i="2" s="1"/>
  <c r="H112" i="2"/>
  <c r="X95" i="2"/>
  <c r="I113" i="2"/>
  <c r="F112" i="2"/>
  <c r="F113" i="2"/>
  <c r="U98" i="2"/>
  <c r="P96" i="2"/>
  <c r="Q96" i="2" s="1"/>
  <c r="H110" i="2" s="1"/>
  <c r="H129" i="2" s="1"/>
  <c r="J112" i="2"/>
  <c r="K112" i="2"/>
  <c r="P94" i="2"/>
  <c r="Q94" i="2" s="1"/>
  <c r="H108" i="2" s="1"/>
  <c r="H119" i="2" s="1"/>
  <c r="H113" i="2"/>
  <c r="E112" i="2"/>
  <c r="C11" i="2696"/>
  <c r="I112" i="2"/>
  <c r="B206" i="2"/>
  <c r="C206" i="2"/>
  <c r="C222" i="2" s="1"/>
  <c r="D207" i="2"/>
  <c r="D206" i="2"/>
  <c r="C207" i="2"/>
  <c r="B207" i="2"/>
  <c r="B58" i="2696"/>
  <c r="B11" i="2696"/>
  <c r="B112" i="2"/>
  <c r="C112" i="2"/>
  <c r="D113" i="2"/>
  <c r="E73" i="2"/>
  <c r="C179" i="2" s="1"/>
  <c r="E109" i="2"/>
  <c r="F109" i="2"/>
  <c r="K109" i="2"/>
  <c r="G109" i="2"/>
  <c r="Y95" i="2"/>
  <c r="I109" i="2" s="1"/>
  <c r="I122" i="2" s="1"/>
  <c r="C8" i="2696"/>
  <c r="Q95" i="2"/>
  <c r="H109" i="2" s="1"/>
  <c r="H125" i="2" s="1"/>
  <c r="J109" i="2"/>
  <c r="C176" i="2"/>
  <c r="H116" i="2"/>
  <c r="H126" i="2"/>
  <c r="O38" i="29108"/>
  <c r="O37" i="29108"/>
  <c r="C39" i="2696"/>
  <c r="O39" i="2696" s="1"/>
  <c r="C45" i="2696"/>
  <c r="O45" i="2696" s="1"/>
  <c r="O37" i="2696"/>
  <c r="S82" i="2696"/>
  <c r="I129" i="2"/>
  <c r="I117" i="2"/>
  <c r="I119" i="2"/>
  <c r="G119" i="2"/>
  <c r="G117" i="2"/>
  <c r="I124" i="2"/>
  <c r="K117" i="2"/>
  <c r="K119" i="2"/>
  <c r="C225" i="2"/>
  <c r="B113" i="2"/>
  <c r="C113" i="2"/>
  <c r="D112" i="2"/>
  <c r="C30" i="2819"/>
  <c r="E25" i="2819"/>
  <c r="C28" i="2819"/>
  <c r="E33" i="2819"/>
  <c r="E29" i="2819"/>
  <c r="B230" i="2"/>
  <c r="B229" i="2"/>
  <c r="C224" i="2"/>
  <c r="C219" i="2"/>
  <c r="D214" i="2"/>
  <c r="B214" i="2"/>
  <c r="J209" i="2"/>
  <c r="H209" i="2"/>
  <c r="I208" i="2"/>
  <c r="D208" i="2"/>
  <c r="B137" i="2"/>
  <c r="B133" i="2"/>
  <c r="B130" i="2"/>
  <c r="B126" i="2"/>
  <c r="D124" i="2"/>
  <c r="B122" i="2"/>
  <c r="D118" i="2"/>
  <c r="F115" i="2"/>
  <c r="A46" i="2316"/>
  <c r="G78" i="2696"/>
  <c r="S78" i="2696" s="1"/>
  <c r="H128" i="2" l="1"/>
  <c r="I121" i="2"/>
  <c r="R37" i="2696"/>
  <c r="F39" i="2696"/>
  <c r="R39" i="2696" s="1"/>
  <c r="C40" i="29108"/>
  <c r="C42" i="29108" s="1"/>
  <c r="M39" i="29108"/>
  <c r="M40" i="29108" s="1"/>
  <c r="M49" i="29108" s="1"/>
  <c r="M56" i="29108" s="1"/>
  <c r="B52" i="29108" s="1"/>
  <c r="N39" i="29108"/>
  <c r="N40" i="29108"/>
  <c r="N49" i="29108" s="1"/>
  <c r="N56" i="29108" s="1"/>
  <c r="D52" i="29108" s="1"/>
  <c r="P38" i="29108"/>
  <c r="P40" i="29108" s="1"/>
  <c r="P49" i="29108" s="1"/>
  <c r="P56" i="29108" s="1"/>
  <c r="E52" i="29108" s="1"/>
  <c r="G120" i="2"/>
  <c r="H120" i="2"/>
  <c r="I128" i="2"/>
  <c r="H121" i="2"/>
  <c r="H117" i="2"/>
  <c r="I118" i="2"/>
  <c r="I116" i="2"/>
  <c r="K118" i="2"/>
  <c r="F204" i="2"/>
  <c r="E204" i="2"/>
  <c r="K204" i="2"/>
  <c r="J204" i="2"/>
  <c r="C56" i="2696"/>
  <c r="G204" i="2"/>
  <c r="I137" i="2"/>
  <c r="I120" i="2"/>
  <c r="D134" i="2"/>
  <c r="D130" i="2"/>
  <c r="D137" i="2"/>
  <c r="D133" i="2"/>
  <c r="H17" i="29108"/>
  <c r="E84" i="2696"/>
  <c r="G84" i="2696"/>
  <c r="F84" i="2696"/>
  <c r="Q37" i="2696"/>
  <c r="E39" i="2696"/>
  <c r="Q39" i="2696" s="1"/>
  <c r="H118" i="2"/>
  <c r="K129" i="2"/>
  <c r="K116" i="2"/>
  <c r="K126" i="2"/>
  <c r="J129" i="2"/>
  <c r="J126" i="2"/>
  <c r="J116" i="2"/>
  <c r="G129" i="2"/>
  <c r="G116" i="2"/>
  <c r="G126" i="2"/>
  <c r="F129" i="2"/>
  <c r="F126" i="2"/>
  <c r="F116" i="2"/>
  <c r="E34" i="2696"/>
  <c r="G34" i="2696"/>
  <c r="F34" i="2696"/>
  <c r="E126" i="2"/>
  <c r="E129" i="2"/>
  <c r="E116" i="2"/>
  <c r="I136" i="2"/>
  <c r="J117" i="2"/>
  <c r="J118" i="2"/>
  <c r="J119" i="2"/>
  <c r="F119" i="2"/>
  <c r="F118" i="2"/>
  <c r="F117" i="2"/>
  <c r="M188" i="2"/>
  <c r="F202" i="2" s="1"/>
  <c r="C54" i="2696"/>
  <c r="E202" i="2"/>
  <c r="T192" i="2"/>
  <c r="K202" i="2"/>
  <c r="J202" i="2"/>
  <c r="P23" i="2696"/>
  <c r="Q23" i="2696" s="1"/>
  <c r="G36" i="2696" s="1"/>
  <c r="E32" i="2696"/>
  <c r="F32" i="2696"/>
  <c r="G32" i="2696"/>
  <c r="E119" i="2"/>
  <c r="E117" i="2"/>
  <c r="E118" i="2"/>
  <c r="O40" i="29108"/>
  <c r="O49" i="29108" s="1"/>
  <c r="O56" i="29108" s="1"/>
  <c r="C52" i="29108" s="1"/>
  <c r="F16" i="29108"/>
  <c r="G16" i="29108" s="1"/>
  <c r="H16" i="29108"/>
  <c r="P188" i="2"/>
  <c r="Q188" i="2" s="1"/>
  <c r="H202" i="2" s="1"/>
  <c r="T188" i="2"/>
  <c r="U188" i="2" s="1"/>
  <c r="G202" i="2" s="1"/>
  <c r="K207" i="2"/>
  <c r="J206" i="2"/>
  <c r="C58" i="2696"/>
  <c r="K206" i="2"/>
  <c r="F207" i="2"/>
  <c r="I206" i="2"/>
  <c r="I225" i="2" s="1"/>
  <c r="P190" i="2"/>
  <c r="Q190" i="2" s="1"/>
  <c r="H204" i="2" s="1"/>
  <c r="U192" i="2"/>
  <c r="X189" i="2"/>
  <c r="Y189" i="2" s="1"/>
  <c r="I203" i="2" s="1"/>
  <c r="X188" i="2"/>
  <c r="Y188" i="2" s="1"/>
  <c r="I202" i="2" s="1"/>
  <c r="I207" i="2"/>
  <c r="E206" i="2"/>
  <c r="H207" i="2"/>
  <c r="F206" i="2"/>
  <c r="X190" i="2"/>
  <c r="Y190" i="2" s="1"/>
  <c r="I204" i="2" s="1"/>
  <c r="H206" i="2"/>
  <c r="J207" i="2"/>
  <c r="E207" i="2"/>
  <c r="C123" i="2"/>
  <c r="C131" i="2"/>
  <c r="C121" i="2"/>
  <c r="C128" i="2"/>
  <c r="C127" i="2"/>
  <c r="D36" i="2696"/>
  <c r="C36" i="2696"/>
  <c r="B36" i="2696"/>
  <c r="D217" i="2"/>
  <c r="D215" i="2"/>
  <c r="D222" i="2"/>
  <c r="D225" i="2"/>
  <c r="C217" i="2"/>
  <c r="C215" i="2"/>
  <c r="C221" i="2"/>
  <c r="I127" i="2"/>
  <c r="I131" i="2"/>
  <c r="E131" i="2"/>
  <c r="E128" i="2"/>
  <c r="E127" i="2"/>
  <c r="E121" i="2"/>
  <c r="J127" i="2"/>
  <c r="J131" i="2"/>
  <c r="J121" i="2"/>
  <c r="J128" i="2"/>
  <c r="G113" i="2"/>
  <c r="G112" i="2"/>
  <c r="F127" i="2"/>
  <c r="F121" i="2"/>
  <c r="F131" i="2"/>
  <c r="F128" i="2"/>
  <c r="B128" i="2"/>
  <c r="B123" i="2"/>
  <c r="B121" i="2"/>
  <c r="B131" i="2"/>
  <c r="B127" i="2"/>
  <c r="B83" i="2696"/>
  <c r="D83" i="2696"/>
  <c r="C83" i="2696"/>
  <c r="B225" i="2"/>
  <c r="B221" i="2"/>
  <c r="B222" i="2"/>
  <c r="B217" i="2"/>
  <c r="N241" i="2" s="1"/>
  <c r="N242" i="2" s="1"/>
  <c r="B215" i="2"/>
  <c r="F36" i="2696"/>
  <c r="E36" i="2696"/>
  <c r="K121" i="2"/>
  <c r="K128" i="2"/>
  <c r="K131" i="2"/>
  <c r="K127" i="2"/>
  <c r="H131" i="2"/>
  <c r="H127" i="2"/>
  <c r="J136" i="2"/>
  <c r="J120" i="2"/>
  <c r="J122" i="2"/>
  <c r="J123" i="2"/>
  <c r="J125" i="2"/>
  <c r="J124" i="2"/>
  <c r="J130" i="2"/>
  <c r="J137" i="2"/>
  <c r="E33" i="2696"/>
  <c r="G33" i="2696"/>
  <c r="G124" i="2"/>
  <c r="G125" i="2"/>
  <c r="G122" i="2"/>
  <c r="G136" i="2"/>
  <c r="G130" i="2"/>
  <c r="G137" i="2"/>
  <c r="F122" i="2"/>
  <c r="F123" i="2"/>
  <c r="F137" i="2"/>
  <c r="F124" i="2"/>
  <c r="F136" i="2"/>
  <c r="F130" i="2"/>
  <c r="F125" i="2"/>
  <c r="F120" i="2"/>
  <c r="Q189" i="2"/>
  <c r="H203" i="2" s="1"/>
  <c r="E203" i="2"/>
  <c r="F203" i="2"/>
  <c r="G203" i="2"/>
  <c r="C55" i="2696"/>
  <c r="K203" i="2"/>
  <c r="J203" i="2"/>
  <c r="H124" i="2"/>
  <c r="H136" i="2"/>
  <c r="H130" i="2"/>
  <c r="H137" i="2"/>
  <c r="H122" i="2"/>
  <c r="H123" i="2"/>
  <c r="I130" i="2"/>
  <c r="I123" i="2"/>
  <c r="I125" i="2"/>
  <c r="K120" i="2"/>
  <c r="K123" i="2"/>
  <c r="K125" i="2"/>
  <c r="K124" i="2"/>
  <c r="K122" i="2"/>
  <c r="K136" i="2"/>
  <c r="K137" i="2"/>
  <c r="K130" i="2"/>
  <c r="E124" i="2"/>
  <c r="E120" i="2"/>
  <c r="E136" i="2"/>
  <c r="E130" i="2"/>
  <c r="E137" i="2"/>
  <c r="E122" i="2"/>
  <c r="E125" i="2"/>
  <c r="E123" i="2"/>
  <c r="D226" i="2"/>
  <c r="D229" i="2"/>
  <c r="D230" i="2"/>
  <c r="D221" i="2"/>
  <c r="M241" i="2"/>
  <c r="M242" i="2" s="1"/>
  <c r="T241" i="2"/>
  <c r="T242" i="2" s="1"/>
  <c r="X241" i="2"/>
  <c r="X242" i="2" s="1"/>
  <c r="U241" i="2"/>
  <c r="U242" i="2" s="1"/>
  <c r="S241" i="2"/>
  <c r="S242" i="2" s="1"/>
  <c r="V147" i="2"/>
  <c r="V148" i="2" s="1"/>
  <c r="S147" i="2"/>
  <c r="S148" i="2" s="1"/>
  <c r="U147" i="2"/>
  <c r="U148" i="2" s="1"/>
  <c r="T147" i="2"/>
  <c r="T148" i="2" s="1"/>
  <c r="A56" i="1"/>
  <c r="A55" i="1"/>
  <c r="C55" i="1"/>
  <c r="T154" i="2"/>
  <c r="T155" i="2" s="1"/>
  <c r="I229" i="2"/>
  <c r="I226" i="2"/>
  <c r="I221" i="2"/>
  <c r="D223" i="2"/>
  <c r="AD241" i="2" s="1"/>
  <c r="AD242" i="2" s="1"/>
  <c r="F15" i="29108"/>
  <c r="C18" i="29108"/>
  <c r="H15" i="29108"/>
  <c r="D123" i="2"/>
  <c r="D128" i="2"/>
  <c r="D121" i="2"/>
  <c r="D131" i="2"/>
  <c r="D127" i="2"/>
  <c r="N147" i="2"/>
  <c r="N148" i="2" s="1"/>
  <c r="M147" i="2"/>
  <c r="M148" i="2" s="1"/>
  <c r="L147" i="2"/>
  <c r="L148" i="2" s="1"/>
  <c r="O147" i="2"/>
  <c r="O148" i="2" s="1"/>
  <c r="V241" i="2" l="1"/>
  <c r="V242" i="2" s="1"/>
  <c r="W147" i="2"/>
  <c r="W148" i="2" s="1"/>
  <c r="AD154" i="2"/>
  <c r="AD155" i="2" s="1"/>
  <c r="H18" i="29108"/>
  <c r="W241" i="2"/>
  <c r="W242" i="2" s="1"/>
  <c r="AC154" i="2"/>
  <c r="AC155" i="2" s="1"/>
  <c r="AE154" i="2"/>
  <c r="AE155" i="2" s="1"/>
  <c r="F81" i="2696"/>
  <c r="R81" i="2696" s="1"/>
  <c r="E81" i="2696"/>
  <c r="Q81" i="2696" s="1"/>
  <c r="G81" i="2696"/>
  <c r="S81" i="2696" s="1"/>
  <c r="K220" i="2"/>
  <c r="K210" i="2"/>
  <c r="K223" i="2"/>
  <c r="F210" i="2"/>
  <c r="F220" i="2"/>
  <c r="F223" i="2"/>
  <c r="G210" i="2"/>
  <c r="G223" i="2"/>
  <c r="G220" i="2"/>
  <c r="J210" i="2"/>
  <c r="J223" i="2"/>
  <c r="J220" i="2"/>
  <c r="E210" i="2"/>
  <c r="E220" i="2"/>
  <c r="E223" i="2"/>
  <c r="AE147" i="2"/>
  <c r="AE148" i="2" s="1"/>
  <c r="L241" i="2"/>
  <c r="L242" i="2" s="1"/>
  <c r="P147" i="2"/>
  <c r="P148" i="2" s="1"/>
  <c r="S84" i="2696"/>
  <c r="G86" i="2696"/>
  <c r="S86" i="2696" s="1"/>
  <c r="R84" i="2696"/>
  <c r="F86" i="2696"/>
  <c r="R86" i="2696" s="1"/>
  <c r="E86" i="2696"/>
  <c r="Q86" i="2696" s="1"/>
  <c r="Q84" i="2696"/>
  <c r="E92" i="2696"/>
  <c r="Q92" i="2696" s="1"/>
  <c r="I217" i="2"/>
  <c r="I218" i="2"/>
  <c r="I230" i="2"/>
  <c r="I214" i="2"/>
  <c r="O241" i="2"/>
  <c r="O242" i="2" s="1"/>
  <c r="AE241" i="2"/>
  <c r="AE242" i="2" s="1"/>
  <c r="AC147" i="2"/>
  <c r="AC148" i="2" s="1"/>
  <c r="Q147" i="2"/>
  <c r="Q148" i="2" s="1"/>
  <c r="M161" i="2"/>
  <c r="H82" i="2" s="1"/>
  <c r="P241" i="2"/>
  <c r="P242" i="2" s="1"/>
  <c r="Q241" i="2"/>
  <c r="Q242" i="2" s="1"/>
  <c r="AB154" i="2"/>
  <c r="AB155" i="2" s="1"/>
  <c r="F45" i="2696"/>
  <c r="R45" i="2696" s="1"/>
  <c r="R34" i="2696"/>
  <c r="Q34" i="2696"/>
  <c r="E45" i="2696"/>
  <c r="Q45" i="2696" s="1"/>
  <c r="G45" i="2696"/>
  <c r="S45" i="2696" s="1"/>
  <c r="S34" i="2696"/>
  <c r="AA154" i="2"/>
  <c r="AA155" i="2" s="1"/>
  <c r="I219" i="2"/>
  <c r="I216" i="2"/>
  <c r="S32" i="2696"/>
  <c r="G41" i="2696"/>
  <c r="S41" i="2696" s="1"/>
  <c r="G44" i="2696"/>
  <c r="S44" i="2696" s="1"/>
  <c r="Q32" i="2696"/>
  <c r="E41" i="2696"/>
  <c r="Q41" i="2696" s="1"/>
  <c r="J213" i="2"/>
  <c r="J211" i="2"/>
  <c r="J212" i="2"/>
  <c r="P70" i="2696"/>
  <c r="E79" i="2696"/>
  <c r="G79" i="2696"/>
  <c r="F79" i="2696"/>
  <c r="R32" i="2696"/>
  <c r="F41" i="2696"/>
  <c r="R41" i="2696" s="1"/>
  <c r="G40" i="2696"/>
  <c r="S40" i="2696" s="1"/>
  <c r="S36" i="2696"/>
  <c r="K213" i="2"/>
  <c r="K212" i="2"/>
  <c r="K211" i="2"/>
  <c r="E213" i="2"/>
  <c r="E211" i="2"/>
  <c r="E212" i="2"/>
  <c r="F211" i="2"/>
  <c r="F212" i="2"/>
  <c r="F213" i="2"/>
  <c r="S154" i="2"/>
  <c r="S155" i="2" s="1"/>
  <c r="M160" i="2" s="1"/>
  <c r="H81" i="2" s="1"/>
  <c r="AB147" i="2"/>
  <c r="AB148" i="2" s="1"/>
  <c r="AA147" i="2"/>
  <c r="AA148" i="2" s="1"/>
  <c r="Z147" i="2"/>
  <c r="Z148" i="2" s="1"/>
  <c r="I231" i="2"/>
  <c r="I224" i="2"/>
  <c r="E44" i="2696"/>
  <c r="Q44" i="2696" s="1"/>
  <c r="E40" i="2696"/>
  <c r="Q40" i="2696" s="1"/>
  <c r="Q36" i="2696"/>
  <c r="D87" i="2696"/>
  <c r="P87" i="2696" s="1"/>
  <c r="D91" i="2696"/>
  <c r="P91" i="2696" s="1"/>
  <c r="P83" i="2696"/>
  <c r="N36" i="2696"/>
  <c r="B44" i="2696"/>
  <c r="N44" i="2696" s="1"/>
  <c r="B40" i="2696"/>
  <c r="N40" i="2696" s="1"/>
  <c r="D40" i="2696"/>
  <c r="P40" i="2696" s="1"/>
  <c r="D44" i="2696"/>
  <c r="P44" i="2696" s="1"/>
  <c r="P36" i="2696"/>
  <c r="X147" i="2"/>
  <c r="X148" i="2" s="1"/>
  <c r="I223" i="2"/>
  <c r="I220" i="2"/>
  <c r="I222" i="2"/>
  <c r="I210" i="2"/>
  <c r="H210" i="2"/>
  <c r="H222" i="2"/>
  <c r="H223" i="2"/>
  <c r="H220" i="2"/>
  <c r="Q70" i="2696"/>
  <c r="G83" i="2696" s="1"/>
  <c r="E83" i="2696"/>
  <c r="F83" i="2696"/>
  <c r="H213" i="2"/>
  <c r="H211" i="2"/>
  <c r="H215" i="2"/>
  <c r="H212" i="2"/>
  <c r="N161" i="2"/>
  <c r="I82" i="2" s="1"/>
  <c r="P154" i="2"/>
  <c r="P155" i="2" s="1"/>
  <c r="F40" i="2696"/>
  <c r="R40" i="2696" s="1"/>
  <c r="F44" i="2696"/>
  <c r="R44" i="2696" s="1"/>
  <c r="R36" i="2696"/>
  <c r="C91" i="2696"/>
  <c r="O91" i="2696" s="1"/>
  <c r="O83" i="2696"/>
  <c r="C87" i="2696"/>
  <c r="O87" i="2696" s="1"/>
  <c r="B91" i="2696"/>
  <c r="N91" i="2696" s="1"/>
  <c r="N83" i="2696"/>
  <c r="B87" i="2696"/>
  <c r="N87" i="2696" s="1"/>
  <c r="G131" i="2"/>
  <c r="G127" i="2"/>
  <c r="G128" i="2"/>
  <c r="G123" i="2"/>
  <c r="G121" i="2"/>
  <c r="C44" i="2696"/>
  <c r="O44" i="2696" s="1"/>
  <c r="C40" i="2696"/>
  <c r="O40" i="2696" s="1"/>
  <c r="O36" i="2696"/>
  <c r="H221" i="2"/>
  <c r="H225" i="2"/>
  <c r="F225" i="2"/>
  <c r="F222" i="2"/>
  <c r="F221" i="2"/>
  <c r="F215" i="2"/>
  <c r="E222" i="2"/>
  <c r="E225" i="2"/>
  <c r="E215" i="2"/>
  <c r="E221" i="2"/>
  <c r="I213" i="2"/>
  <c r="I211" i="2"/>
  <c r="I215" i="2"/>
  <c r="I212" i="2"/>
  <c r="G207" i="2"/>
  <c r="G206" i="2"/>
  <c r="G215" i="2" s="1"/>
  <c r="K225" i="2"/>
  <c r="K221" i="2"/>
  <c r="K215" i="2"/>
  <c r="K222" i="2"/>
  <c r="J222" i="2"/>
  <c r="J225" i="2"/>
  <c r="J221" i="2"/>
  <c r="J215" i="2"/>
  <c r="G212" i="2"/>
  <c r="G211" i="2"/>
  <c r="G213" i="2"/>
  <c r="M154" i="2"/>
  <c r="M155" i="2" s="1"/>
  <c r="Q154" i="2"/>
  <c r="Q155" i="2" s="1"/>
  <c r="L161" i="2"/>
  <c r="L164" i="2"/>
  <c r="O154" i="2"/>
  <c r="O155" i="2" s="1"/>
  <c r="L163" i="2" s="1"/>
  <c r="G84" i="2" s="1"/>
  <c r="J214" i="2"/>
  <c r="J218" i="2"/>
  <c r="J224" i="2"/>
  <c r="J231" i="2"/>
  <c r="J216" i="2"/>
  <c r="J217" i="2"/>
  <c r="J219" i="2"/>
  <c r="J230" i="2"/>
  <c r="E80" i="2696"/>
  <c r="G80" i="2696"/>
  <c r="M67" i="2696"/>
  <c r="F216" i="2"/>
  <c r="F224" i="2"/>
  <c r="F230" i="2"/>
  <c r="F219" i="2"/>
  <c r="F218" i="2"/>
  <c r="F217" i="2"/>
  <c r="F231" i="2"/>
  <c r="F214" i="2"/>
  <c r="H218" i="2"/>
  <c r="H217" i="2"/>
  <c r="H214" i="2"/>
  <c r="H216" i="2"/>
  <c r="H230" i="2"/>
  <c r="H224" i="2"/>
  <c r="H231" i="2"/>
  <c r="H219" i="2"/>
  <c r="S33" i="2696"/>
  <c r="G43" i="2696"/>
  <c r="S43" i="2696" s="1"/>
  <c r="G38" i="2696"/>
  <c r="S38" i="2696" s="1"/>
  <c r="G42" i="2696"/>
  <c r="S42" i="2696" s="1"/>
  <c r="U154" i="2"/>
  <c r="U155" i="2" s="1"/>
  <c r="W154" i="2"/>
  <c r="W155" i="2" s="1"/>
  <c r="M164" i="2" s="1"/>
  <c r="H85" i="2" s="1"/>
  <c r="X154" i="2"/>
  <c r="X155" i="2" s="1"/>
  <c r="M165" i="2" s="1"/>
  <c r="H86" i="2" s="1"/>
  <c r="V154" i="2"/>
  <c r="V155" i="2" s="1"/>
  <c r="M163" i="2" s="1"/>
  <c r="H84" i="2" s="1"/>
  <c r="L165" i="2"/>
  <c r="L154" i="2"/>
  <c r="L155" i="2" s="1"/>
  <c r="L160" i="2" s="1"/>
  <c r="N154" i="2"/>
  <c r="N155" i="2" s="1"/>
  <c r="R155" i="2" s="1"/>
  <c r="C56" i="29108" s="1"/>
  <c r="K214" i="2"/>
  <c r="K218" i="2"/>
  <c r="K217" i="2"/>
  <c r="K224" i="2"/>
  <c r="K231" i="2"/>
  <c r="K216" i="2"/>
  <c r="K230" i="2"/>
  <c r="K219" i="2"/>
  <c r="G216" i="2"/>
  <c r="G218" i="2"/>
  <c r="G217" i="2"/>
  <c r="G224" i="2"/>
  <c r="G230" i="2"/>
  <c r="G219" i="2"/>
  <c r="G231" i="2"/>
  <c r="G214" i="2"/>
  <c r="E218" i="2"/>
  <c r="E219" i="2"/>
  <c r="E214" i="2"/>
  <c r="E224" i="2"/>
  <c r="E216" i="2"/>
  <c r="E230" i="2"/>
  <c r="E217" i="2"/>
  <c r="E231" i="2"/>
  <c r="Q33" i="2696"/>
  <c r="E43" i="2696"/>
  <c r="Q43" i="2696" s="1"/>
  <c r="E38" i="2696"/>
  <c r="Q38" i="2696" s="1"/>
  <c r="E42" i="2696"/>
  <c r="Q42" i="2696" s="1"/>
  <c r="O161" i="2"/>
  <c r="J82" i="2" s="1"/>
  <c r="D48" i="2" s="1"/>
  <c r="E68" i="1" s="1"/>
  <c r="F40" i="2819" s="1"/>
  <c r="G82" i="2"/>
  <c r="N165" i="2"/>
  <c r="I86" i="2" s="1"/>
  <c r="AF155" i="2"/>
  <c r="N162" i="2"/>
  <c r="I83" i="2" s="1"/>
  <c r="R242" i="2"/>
  <c r="AC241" i="2"/>
  <c r="AC242" i="2" s="1"/>
  <c r="G86" i="2"/>
  <c r="R148" i="2"/>
  <c r="AD147" i="2"/>
  <c r="AD148" i="2" s="1"/>
  <c r="AF148" i="2" s="1"/>
  <c r="B58" i="29108" s="1"/>
  <c r="G15" i="29108"/>
  <c r="G18" i="29108" s="1"/>
  <c r="N163" i="2"/>
  <c r="I84" i="2" s="1"/>
  <c r="Y148" i="2"/>
  <c r="M162" i="2"/>
  <c r="H83" i="2" s="1"/>
  <c r="Y242" i="2"/>
  <c r="D57" i="29108" s="1"/>
  <c r="AB241" i="2"/>
  <c r="AB242" i="2" s="1"/>
  <c r="Z241" i="2"/>
  <c r="Z242" i="2" s="1"/>
  <c r="AA241" i="2"/>
  <c r="AA242" i="2" s="1"/>
  <c r="G85" i="2"/>
  <c r="AD248" i="2" l="1"/>
  <c r="AD249" i="2" s="1"/>
  <c r="N257" i="2" s="1"/>
  <c r="I179" i="2" s="1"/>
  <c r="F92" i="2696"/>
  <c r="R92" i="2696" s="1"/>
  <c r="G92" i="2696"/>
  <c r="S92" i="2696" s="1"/>
  <c r="L162" i="2"/>
  <c r="AB248" i="2"/>
  <c r="AB249" i="2" s="1"/>
  <c r="F88" i="2696"/>
  <c r="R88" i="2696" s="1"/>
  <c r="R79" i="2696"/>
  <c r="Q79" i="2696"/>
  <c r="E88" i="2696"/>
  <c r="Q88" i="2696" s="1"/>
  <c r="S79" i="2696"/>
  <c r="G88" i="2696"/>
  <c r="S88" i="2696" s="1"/>
  <c r="E69" i="1"/>
  <c r="E82" i="1"/>
  <c r="O46" i="2696"/>
  <c r="N93" i="2696"/>
  <c r="O93" i="2696"/>
  <c r="AA248" i="2"/>
  <c r="AA249" i="2" s="1"/>
  <c r="N254" i="2" s="1"/>
  <c r="I176" i="2" s="1"/>
  <c r="N164" i="2"/>
  <c r="I85" i="2" s="1"/>
  <c r="O248" i="2"/>
  <c r="O249" i="2" s="1"/>
  <c r="L256" i="2" s="1"/>
  <c r="G178" i="2" s="1"/>
  <c r="S248" i="2"/>
  <c r="S249" i="2" s="1"/>
  <c r="M253" i="2" s="1"/>
  <c r="H175" i="2" s="1"/>
  <c r="Z154" i="2"/>
  <c r="Z155" i="2" s="1"/>
  <c r="N160" i="2" s="1"/>
  <c r="I81" i="2" s="1"/>
  <c r="F87" i="2696"/>
  <c r="R87" i="2696" s="1"/>
  <c r="R83" i="2696"/>
  <c r="F91" i="2696"/>
  <c r="R91" i="2696" s="1"/>
  <c r="G91" i="2696"/>
  <c r="S91" i="2696" s="1"/>
  <c r="G87" i="2696"/>
  <c r="S87" i="2696" s="1"/>
  <c r="S83" i="2696"/>
  <c r="P46" i="2696"/>
  <c r="P93" i="2696"/>
  <c r="G221" i="2"/>
  <c r="G222" i="2"/>
  <c r="G225" i="2"/>
  <c r="E87" i="2696"/>
  <c r="Q87" i="2696" s="1"/>
  <c r="E91" i="2696"/>
  <c r="Q91" i="2696" s="1"/>
  <c r="Q83" i="2696"/>
  <c r="N46" i="2696"/>
  <c r="M248" i="2"/>
  <c r="M249" i="2" s="1"/>
  <c r="L254" i="2" s="1"/>
  <c r="G176" i="2" s="1"/>
  <c r="O165" i="2"/>
  <c r="J86" i="2" s="1"/>
  <c r="L248" i="2"/>
  <c r="L249" i="2" s="1"/>
  <c r="L253" i="2" s="1"/>
  <c r="G175" i="2" s="1"/>
  <c r="AE248" i="2"/>
  <c r="AE249" i="2" s="1"/>
  <c r="N258" i="2" s="1"/>
  <c r="I180" i="2" s="1"/>
  <c r="P248" i="2"/>
  <c r="P249" i="2" s="1"/>
  <c r="L257" i="2" s="1"/>
  <c r="G179" i="2" s="1"/>
  <c r="AC248" i="2"/>
  <c r="AC249" i="2" s="1"/>
  <c r="G81" i="2"/>
  <c r="N256" i="2"/>
  <c r="I178" i="2" s="1"/>
  <c r="Q46" i="2696"/>
  <c r="Q47" i="2696" s="1"/>
  <c r="Q49" i="2696" s="1"/>
  <c r="N248" i="2"/>
  <c r="N249" i="2" s="1"/>
  <c r="Y155" i="2"/>
  <c r="C57" i="29108" s="1"/>
  <c r="S46" i="2696"/>
  <c r="S47" i="2696" s="1"/>
  <c r="S49" i="2696" s="1"/>
  <c r="T248" i="2"/>
  <c r="T249" i="2" s="1"/>
  <c r="M254" i="2" s="1"/>
  <c r="H176" i="2" s="1"/>
  <c r="F80" i="2696"/>
  <c r="F33" i="2696"/>
  <c r="Q80" i="2696"/>
  <c r="E90" i="2696"/>
  <c r="Q90" i="2696" s="1"/>
  <c r="E85" i="2696"/>
  <c r="Q85" i="2696" s="1"/>
  <c r="E89" i="2696"/>
  <c r="Q89" i="2696" s="1"/>
  <c r="W248" i="2"/>
  <c r="W249" i="2" s="1"/>
  <c r="M257" i="2" s="1"/>
  <c r="H179" i="2" s="1"/>
  <c r="V248" i="2"/>
  <c r="V249" i="2" s="1"/>
  <c r="M256" i="2" s="1"/>
  <c r="H178" i="2" s="1"/>
  <c r="X248" i="2"/>
  <c r="X249" i="2" s="1"/>
  <c r="M258" i="2" s="1"/>
  <c r="H180" i="2" s="1"/>
  <c r="U248" i="2"/>
  <c r="U249" i="2" s="1"/>
  <c r="Q248" i="2"/>
  <c r="Q249" i="2" s="1"/>
  <c r="L258" i="2" s="1"/>
  <c r="AF249" i="2"/>
  <c r="E58" i="29108" s="1"/>
  <c r="S80" i="2696"/>
  <c r="G85" i="2696"/>
  <c r="S85" i="2696" s="1"/>
  <c r="G90" i="2696"/>
  <c r="S90" i="2696" s="1"/>
  <c r="G89" i="2696"/>
  <c r="S89" i="2696" s="1"/>
  <c r="O164" i="2"/>
  <c r="J85" i="2" s="1"/>
  <c r="B57" i="29108"/>
  <c r="B56" i="29108"/>
  <c r="L166" i="2"/>
  <c r="G87" i="2" s="1"/>
  <c r="D56" i="29108"/>
  <c r="C58" i="29108"/>
  <c r="N166" i="2"/>
  <c r="I87" i="2" s="1"/>
  <c r="AF242" i="2"/>
  <c r="N255" i="2"/>
  <c r="I177" i="2" s="1"/>
  <c r="O162" i="2"/>
  <c r="J83" i="2" s="1"/>
  <c r="G83" i="2"/>
  <c r="O163" i="2"/>
  <c r="J84" i="2" s="1"/>
  <c r="B59" i="29108" l="1"/>
  <c r="B61" i="29108" s="1"/>
  <c r="O160" i="2"/>
  <c r="J81" i="2" s="1"/>
  <c r="D47" i="2" s="1"/>
  <c r="E67" i="1" s="1"/>
  <c r="F39" i="2819" s="1"/>
  <c r="O256" i="2"/>
  <c r="J178" i="2" s="1"/>
  <c r="O166" i="2"/>
  <c r="J87" i="2" s="1"/>
  <c r="D49" i="2" s="1"/>
  <c r="C59" i="29108"/>
  <c r="C61" i="29108" s="1"/>
  <c r="B64" i="29108" s="1"/>
  <c r="E72" i="1" s="1"/>
  <c r="F42" i="2819" s="1"/>
  <c r="O254" i="2"/>
  <c r="J176" i="2" s="1"/>
  <c r="M166" i="2"/>
  <c r="H87" i="2" s="1"/>
  <c r="Z248" i="2"/>
  <c r="Z249" i="2" s="1"/>
  <c r="N253" i="2" s="1"/>
  <c r="I175" i="2" s="1"/>
  <c r="Y249" i="2"/>
  <c r="M255" i="2"/>
  <c r="H177" i="2" s="1"/>
  <c r="F43" i="2696"/>
  <c r="R43" i="2696" s="1"/>
  <c r="F42" i="2696"/>
  <c r="R42" i="2696" s="1"/>
  <c r="F38" i="2696"/>
  <c r="R38" i="2696" s="1"/>
  <c r="R33" i="2696"/>
  <c r="S93" i="2696"/>
  <c r="S94" i="2696" s="1"/>
  <c r="S96" i="2696" s="1"/>
  <c r="G180" i="2"/>
  <c r="O258" i="2"/>
  <c r="J180" i="2" s="1"/>
  <c r="Q93" i="2696"/>
  <c r="Q94" i="2696" s="1"/>
  <c r="Q96" i="2696" s="1"/>
  <c r="F90" i="2696"/>
  <c r="R90" i="2696" s="1"/>
  <c r="R80" i="2696"/>
  <c r="F89" i="2696"/>
  <c r="R89" i="2696" s="1"/>
  <c r="F85" i="2696"/>
  <c r="R85" i="2696" s="1"/>
  <c r="R249" i="2"/>
  <c r="L255" i="2"/>
  <c r="O257" i="2"/>
  <c r="J179" i="2" s="1"/>
  <c r="D59" i="2"/>
  <c r="E81" i="1" s="1"/>
  <c r="C40" i="2819" s="1"/>
  <c r="D58" i="29108"/>
  <c r="D59" i="29108" s="1"/>
  <c r="D61" i="29108" s="1"/>
  <c r="N259" i="2"/>
  <c r="I181" i="2" s="1"/>
  <c r="O253" i="2" l="1"/>
  <c r="E56" i="29108"/>
  <c r="O259" i="2"/>
  <c r="L259" i="2"/>
  <c r="G181" i="2" s="1"/>
  <c r="R46" i="2696"/>
  <c r="R47" i="2696" s="1"/>
  <c r="R49" i="2696" s="1"/>
  <c r="G177" i="2"/>
  <c r="O255" i="2"/>
  <c r="J177" i="2" s="1"/>
  <c r="R93" i="2696"/>
  <c r="R94" i="2696" s="1"/>
  <c r="R96" i="2696" s="1"/>
  <c r="T96" i="2696" s="1"/>
  <c r="V96" i="2696" s="1"/>
  <c r="M259" i="2"/>
  <c r="H181" i="2" s="1"/>
  <c r="E57" i="29108"/>
  <c r="E59" i="29108" s="1"/>
  <c r="E61" i="29108" s="1"/>
  <c r="C64" i="29108" s="1"/>
  <c r="E85" i="1" s="1"/>
  <c r="E83" i="1" l="1"/>
  <c r="E84" i="1" s="1"/>
  <c r="C41" i="2819" s="1"/>
  <c r="C42" i="2819"/>
  <c r="J175" i="2"/>
  <c r="D58" i="2"/>
  <c r="E80" i="1" s="1"/>
  <c r="C39" i="2819" s="1"/>
  <c r="T49" i="2696"/>
  <c r="V49" i="2696" s="1"/>
  <c r="E70" i="1" s="1"/>
  <c r="E71" i="1" s="1"/>
  <c r="T47" i="2696"/>
  <c r="J181" i="2"/>
  <c r="D60" i="2"/>
  <c r="T94" i="2696"/>
  <c r="B55" i="1" l="1"/>
  <c r="D56" i="1" s="1"/>
  <c r="B45" i="2819" s="1"/>
  <c r="F41" i="2819"/>
  <c r="B44" i="2819" l="1"/>
</calcChain>
</file>

<file path=xl/comments1.xml><?xml version="1.0" encoding="utf-8"?>
<comments xmlns="http://schemas.openxmlformats.org/spreadsheetml/2006/main">
  <authors>
    <author>lciccare</author>
    <author>tuser</author>
  </authors>
  <commentList>
    <comment ref="E37" authorId="0">
      <text>
        <r>
          <rPr>
            <b/>
            <sz val="8"/>
            <color indexed="81"/>
            <rFont val="Tahoma"/>
            <family val="2"/>
          </rPr>
          <t xml:space="preserve">Aromatics:
</t>
        </r>
        <r>
          <rPr>
            <sz val="8"/>
            <color indexed="81"/>
            <rFont val="Tahoma"/>
            <family val="2"/>
          </rPr>
          <t>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color indexed="81"/>
            <rFont val="Tahoma"/>
            <family val="2"/>
          </rPr>
          <t xml:space="preserve">Benzene:
</t>
        </r>
        <r>
          <rPr>
            <sz val="8"/>
            <color indexed="81"/>
            <rFont val="Tahoma"/>
            <family val="2"/>
          </rPr>
          <t>This number must be expressed in the nearest hundredth of a percent by volume. (two decimals)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 xml:space="preserve">Olefin:
</t>
        </r>
        <r>
          <rPr>
            <sz val="8"/>
            <color indexed="81"/>
            <rFont val="Tahoma"/>
            <family val="2"/>
          </rPr>
          <t>This number must be expressed in the nearest tenth of a percent by volume. (one decimal)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 xml:space="preserve">Sulfur:
</t>
        </r>
        <r>
          <rPr>
            <sz val="8"/>
            <color indexed="81"/>
            <rFont val="Tahoma"/>
            <family val="2"/>
          </rPr>
          <t>This number must be expressed in the nearest parts per million by weight. (no decimals)</t>
        </r>
      </text>
    </comment>
    <comment ref="B43" authorId="1">
      <text>
        <r>
          <rPr>
            <b/>
            <sz val="10"/>
            <color indexed="81"/>
            <rFont val="Tahoma"/>
            <family val="2"/>
          </rPr>
          <t>RVP:</t>
        </r>
        <r>
          <rPr>
            <sz val="10"/>
            <color indexed="81"/>
            <rFont val="Tahoma"/>
            <family val="2"/>
          </rPr>
          <t xml:space="preserve">
This number must be expressed in the nearest hundreth of a pound per square inch. (two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1">
      <text>
        <r>
          <rPr>
            <b/>
            <sz val="10"/>
            <color indexed="81"/>
            <rFont val="Tahoma"/>
            <family val="2"/>
          </rPr>
          <t>T50:</t>
        </r>
        <r>
          <rPr>
            <sz val="10"/>
            <color indexed="81"/>
            <rFont val="Tahoma"/>
            <family val="2"/>
          </rPr>
          <t xml:space="preserve">
This number must be expressed in the nearst degree Fahrenheit. (no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1">
      <text>
        <r>
          <rPr>
            <b/>
            <sz val="10"/>
            <color indexed="81"/>
            <rFont val="Tahoma"/>
            <family val="2"/>
          </rPr>
          <t xml:space="preserve">T90:
</t>
        </r>
        <r>
          <rPr>
            <sz val="10"/>
            <color indexed="81"/>
            <rFont val="Tahoma"/>
            <family val="2"/>
          </rPr>
          <t>This number must be expressed in the nearest degree Fahrenheit. (no decimals)</t>
        </r>
      </text>
    </comment>
    <comment ref="B46" authorId="1">
      <text>
        <r>
          <rPr>
            <b/>
            <sz val="10"/>
            <color indexed="81"/>
            <rFont val="Tahoma"/>
            <family val="2"/>
          </rPr>
          <t>Aromatics:</t>
        </r>
        <r>
          <rPr>
            <sz val="10"/>
            <color indexed="81"/>
            <rFont val="Tahoma"/>
            <family val="2"/>
          </rPr>
          <t xml:space="preserve">
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1">
      <text>
        <r>
          <rPr>
            <b/>
            <sz val="10"/>
            <color indexed="81"/>
            <rFont val="Tahoma"/>
            <family val="2"/>
          </rPr>
          <t>Olefin:</t>
        </r>
        <r>
          <rPr>
            <sz val="10"/>
            <color indexed="81"/>
            <rFont val="Tahoma"/>
            <family val="2"/>
          </rPr>
          <t xml:space="preserve">
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1">
      <text>
        <r>
          <rPr>
            <b/>
            <sz val="10"/>
            <color indexed="81"/>
            <rFont val="Tahoma"/>
            <family val="2"/>
          </rPr>
          <t xml:space="preserve">Maximum Oxygen:
</t>
        </r>
        <r>
          <rPr>
            <sz val="10"/>
            <color indexed="81"/>
            <rFont val="Tahoma"/>
            <family val="2"/>
          </rPr>
          <t>This number must be expressed in the nearest tenth of a percent by weight.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9" authorId="1">
      <text>
        <r>
          <rPr>
            <b/>
            <sz val="10"/>
            <color indexed="81"/>
            <rFont val="Tahoma"/>
            <family val="2"/>
          </rPr>
          <t>Minimum Oxygen Content:</t>
        </r>
        <r>
          <rPr>
            <sz val="10"/>
            <color indexed="81"/>
            <rFont val="Tahoma"/>
            <family val="2"/>
          </rPr>
          <t xml:space="preserve">
This number must be expressed in the nearest tenth of a percent by weight (one decimal).
If  RVP control gasoline = N and winter time minimum oxygen content = Y then Minimum Oxy Limit = 1.8 otherwise Minimum Oxy Limit = 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1">
      <text>
        <r>
          <rPr>
            <b/>
            <sz val="10"/>
            <color indexed="81"/>
            <rFont val="Tahoma"/>
            <family val="2"/>
          </rPr>
          <t>Sulfur:</t>
        </r>
        <r>
          <rPr>
            <sz val="10"/>
            <color indexed="81"/>
            <rFont val="Tahoma"/>
            <family val="2"/>
          </rPr>
          <t xml:space="preserve">
This number must be expressed in the nearest parts per million by weight. (no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1" authorId="1">
      <text>
        <r>
          <rPr>
            <b/>
            <sz val="10"/>
            <color indexed="81"/>
            <rFont val="Tahoma"/>
            <family val="2"/>
          </rPr>
          <t xml:space="preserve">Benzene:
</t>
        </r>
        <r>
          <rPr>
            <sz val="10"/>
            <color indexed="81"/>
            <rFont val="Tahoma"/>
            <family val="2"/>
          </rPr>
          <t>This number must be expressed in the nearest hundredth of a percent by volume. (two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lciccare</author>
    <author>lac</author>
  </authors>
  <commentList>
    <comment ref="C13" authorId="0">
      <text>
        <r>
          <rPr>
            <b/>
            <sz val="10"/>
            <color indexed="81"/>
            <rFont val="Tahoma"/>
            <family val="2"/>
          </rPr>
          <t>CARB code:</t>
        </r>
        <r>
          <rPr>
            <sz val="10"/>
            <color indexed="81"/>
            <rFont val="Tahoma"/>
            <family val="2"/>
          </rPr>
          <t xml:space="preserve">
Assigned by ARB.  Call to obtain code.</t>
        </r>
      </text>
    </comment>
    <comment ref="C14" authorId="0">
      <text>
        <r>
          <rPr>
            <b/>
            <sz val="10"/>
            <color indexed="81"/>
            <rFont val="Tahoma"/>
            <family val="2"/>
          </rPr>
          <t>Facility ID Number:</t>
        </r>
        <r>
          <rPr>
            <sz val="10"/>
            <color indexed="81"/>
            <rFont val="Tahoma"/>
            <family val="2"/>
          </rPr>
          <t xml:space="preserve">
Assigned by ARB. If the number starts with a zero enter a single quote (') first.</t>
        </r>
      </text>
    </comment>
    <comment ref="E16" authorId="0">
      <text>
        <r>
          <rPr>
            <b/>
            <sz val="10"/>
            <color indexed="81"/>
            <rFont val="Tahoma"/>
            <family val="2"/>
          </rPr>
          <t>Date:</t>
        </r>
        <r>
          <rPr>
            <sz val="10"/>
            <color indexed="81"/>
            <rFont val="Tahoma"/>
            <family val="2"/>
          </rPr>
          <t xml:space="preserve">
The date must be entered in the following format: mm/dd/yy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Time:</t>
        </r>
        <r>
          <rPr>
            <sz val="10"/>
            <color indexed="81"/>
            <rFont val="Tahoma"/>
            <family val="2"/>
          </rPr>
          <t xml:space="preserve">
The time must be entered in the following format: hh:mm (military time).</t>
        </r>
      </text>
    </comment>
    <comment ref="D42" authorId="1">
      <text>
        <r>
          <rPr>
            <b/>
            <sz val="10"/>
            <color indexed="81"/>
            <rFont val="Tahoma"/>
            <family val="2"/>
          </rPr>
          <t xml:space="preserve">Date:
</t>
        </r>
        <r>
          <rPr>
            <sz val="10"/>
            <color indexed="81"/>
            <rFont val="Tahoma"/>
            <family val="2"/>
          </rPr>
          <t>The date must be entered in the following format: mm/dd/yy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2" authorId="1">
      <text>
        <r>
          <rPr>
            <b/>
            <sz val="10"/>
            <color indexed="81"/>
            <rFont val="Tahoma"/>
            <family val="2"/>
          </rPr>
          <t xml:space="preserve">Time:
</t>
        </r>
        <r>
          <rPr>
            <sz val="10"/>
            <color indexed="81"/>
            <rFont val="Tahoma"/>
            <family val="2"/>
          </rPr>
          <t>The time must be entered in the following format: hh:mm (military time).</t>
        </r>
      </text>
    </comment>
  </commentList>
</comments>
</file>

<file path=xl/sharedStrings.xml><?xml version="1.0" encoding="utf-8"?>
<sst xmlns="http://schemas.openxmlformats.org/spreadsheetml/2006/main" count="1189" uniqueCount="326">
  <si>
    <t>PROPERTY</t>
  </si>
  <si>
    <t>VALUE</t>
  </si>
  <si>
    <t>UNITS</t>
  </si>
  <si>
    <t>RVP</t>
  </si>
  <si>
    <t>psi, max.</t>
  </si>
  <si>
    <t>T50</t>
  </si>
  <si>
    <t>deg. F.</t>
  </si>
  <si>
    <t>T90</t>
  </si>
  <si>
    <t>AROM</t>
  </si>
  <si>
    <t>vol.%, max.</t>
  </si>
  <si>
    <t>OLEF</t>
  </si>
  <si>
    <t>(max)</t>
  </si>
  <si>
    <t>(min)</t>
  </si>
  <si>
    <t>TOTAL OXYGEN</t>
  </si>
  <si>
    <t>wt. %</t>
  </si>
  <si>
    <t>OXYGEN AS ETOH</t>
  </si>
  <si>
    <t>SULFUR</t>
  </si>
  <si>
    <t>ppmw.</t>
  </si>
  <si>
    <t>BENZENE</t>
  </si>
  <si>
    <t xml:space="preserve">INDICATE WHETHER AN AVERAGING LIMIT OR A FLAT LIMIT WILL BE USED. </t>
  </si>
  <si>
    <t>ENTER "A" FOR AVERAGING LIMIT AND "F" FOR FLAT LIMIT.</t>
  </si>
  <si>
    <t>F</t>
  </si>
  <si>
    <t>BENZ</t>
  </si>
  <si>
    <t>OUTPUTS--SUMMARY OF EMISSIONS PREDICTIONS</t>
  </si>
  <si>
    <t>FOR OXYGEN AT MAXIMUM VALUE</t>
  </si>
  <si>
    <t>PREDICTED PERCENT CHANGE IN EMISSIONS (CANDIDATE VS REFERENCE)</t>
  </si>
  <si>
    <t>POLLUTANT</t>
  </si>
  <si>
    <t>COMPOSITE</t>
  </si>
  <si>
    <t xml:space="preserve"> </t>
  </si>
  <si>
    <t>NOX</t>
  </si>
  <si>
    <t>CO (Reactivity Weighted)</t>
  </si>
  <si>
    <t>POT.TOX.</t>
  </si>
  <si>
    <t>FOR OXYGEN AT MINIMUM VALUE</t>
  </si>
  <si>
    <t xml:space="preserve">   COMPOSITE</t>
  </si>
  <si>
    <t>THIS PAGE DOES THE EXHAUST EMISSIONS CALCULATIONS AND MODEL PREDICTIONS</t>
  </si>
  <si>
    <t>THE FUEL PROPERTY VALUES ARE TRANSFERRED FROM PAGE A.</t>
  </si>
  <si>
    <t>OXYGEN</t>
  </si>
  <si>
    <t>RESULTS</t>
  </si>
  <si>
    <t>PREDICTED PERCENT CHANGE IN EMISSION (CANDIDATE VS REFERENCE)</t>
  </si>
  <si>
    <t>THC</t>
  </si>
  <si>
    <t>OXYGEN VALUE DETERMINATION</t>
  </si>
  <si>
    <t>REF MAX</t>
  </si>
  <si>
    <t>REF MIN</t>
  </si>
  <si>
    <t>CAN MAX</t>
  </si>
  <si>
    <t>CAN MIN</t>
  </si>
  <si>
    <t>TEST 1</t>
  </si>
  <si>
    <t>TEST 2</t>
  </si>
  <si>
    <t>TEST 3</t>
  </si>
  <si>
    <t>TEST 4</t>
  </si>
  <si>
    <t>TEST 5</t>
  </si>
  <si>
    <t>TEST 6</t>
  </si>
  <si>
    <t>OXYGEN VALUES USED</t>
  </si>
  <si>
    <t>OXYGEN MAXIMUM CALCULATION</t>
  </si>
  <si>
    <t>REF FUEL</t>
  </si>
  <si>
    <t>CAN FUEL</t>
  </si>
  <si>
    <t>TECH GROUP WEIGHTS FOR EXHAUST EMISSIONS :</t>
  </si>
  <si>
    <t>TOXICS POTENCY WEIGHTS:</t>
  </si>
  <si>
    <t>WEIGHTS FOR EXHAUST AND EVAP EMISSIONS</t>
  </si>
  <si>
    <t>TECH 3</t>
  </si>
  <si>
    <t>TECH 4</t>
  </si>
  <si>
    <t>TECH 5</t>
  </si>
  <si>
    <t>WEIGHT</t>
  </si>
  <si>
    <t>MODE</t>
  </si>
  <si>
    <t>DIURNAL/RESTING</t>
  </si>
  <si>
    <t>BUTADI.</t>
  </si>
  <si>
    <t>HOT SOAK</t>
  </si>
  <si>
    <t>ALL TOXICS</t>
  </si>
  <si>
    <t>FORMAL.</t>
  </si>
  <si>
    <t>RUNNING</t>
  </si>
  <si>
    <t>ACETAL.</t>
  </si>
  <si>
    <t>EX. TOG</t>
  </si>
  <si>
    <t>CO</t>
  </si>
  <si>
    <t>FUEL PROPERTY MEANS AND STANDARD DEVIATIONS:</t>
  </si>
  <si>
    <t>MEAN</t>
  </si>
  <si>
    <t>STD.</t>
  </si>
  <si>
    <t>Minimum</t>
  </si>
  <si>
    <t>MODEL COEFFICIENTS:</t>
  </si>
  <si>
    <t>STANDARDIZED FUEL PROPERTIES:</t>
  </si>
  <si>
    <t>TERM</t>
  </si>
  <si>
    <t>TECHS 4&amp;5</t>
  </si>
  <si>
    <t>INTERCEPT</t>
  </si>
  <si>
    <t>ETOH*OXYGEN</t>
  </si>
  <si>
    <t>RVAR</t>
  </si>
  <si>
    <t>RVT5</t>
  </si>
  <si>
    <t>T5AR</t>
  </si>
  <si>
    <t>T5T5</t>
  </si>
  <si>
    <t>T5T9</t>
  </si>
  <si>
    <t>T5OX</t>
  </si>
  <si>
    <t>T9T9</t>
  </si>
  <si>
    <t>T9OX</t>
  </si>
  <si>
    <t>RVT9</t>
  </si>
  <si>
    <t>T9AR</t>
  </si>
  <si>
    <t>ARAR</t>
  </si>
  <si>
    <t>SUOX</t>
  </si>
  <si>
    <t>AROX</t>
  </si>
  <si>
    <t>ARSU</t>
  </si>
  <si>
    <t>OLT9</t>
  </si>
  <si>
    <t>OXOX</t>
  </si>
  <si>
    <t>SUSU</t>
  </si>
  <si>
    <t>RVOL</t>
  </si>
  <si>
    <t>OLOL</t>
  </si>
  <si>
    <t>RVSU</t>
  </si>
  <si>
    <t>T9SU</t>
  </si>
  <si>
    <t>T9OL</t>
  </si>
  <si>
    <t>MODEL PREDICTIONS: EXP(PREDICTION) ARE EMISSIONS PREDICTIONS IN g/mi FOR THC AND NOX AND mg/mi FOR TOXICS.</t>
  </si>
  <si>
    <t>PREDICTIONS FOR THE REFERENCE FUEL:</t>
  </si>
  <si>
    <t>POT. WT.</t>
  </si>
  <si>
    <t>TOXICS</t>
  </si>
  <si>
    <t>MODEL PREDICTION</t>
  </si>
  <si>
    <t>EXP(PREDICTION)</t>
  </si>
  <si>
    <t>PREDICTIONS FOR THE CANDIDATE FUEL:</t>
  </si>
  <si>
    <t>NOX (RANBAL)</t>
  </si>
  <si>
    <t>THC (RANBAL)</t>
  </si>
  <si>
    <t>POTENCY TOXICS</t>
  </si>
  <si>
    <t>OXYGEN MINIMUM CALCULATION</t>
  </si>
  <si>
    <t>STD</t>
  </si>
  <si>
    <t>EVAPORATIVE EMISSIONS CALCULATIONS</t>
  </si>
  <si>
    <t>THIS PAGE CALCULATES THE PERCENT CHANGE IN REACTIVITY-WEIGHTED EVAPORATIVE HYDROCARBON EMISSIONS.</t>
  </si>
  <si>
    <t>Reference Fuel</t>
  </si>
  <si>
    <t>Candidate Fuel</t>
  </si>
  <si>
    <t>RVP (psi)</t>
  </si>
  <si>
    <t>Fuel Benzene (%)</t>
  </si>
  <si>
    <t>Predicted Percent</t>
  </si>
  <si>
    <t>Emissions</t>
  </si>
  <si>
    <t>Reactivity Weighted</t>
  </si>
  <si>
    <t>Weighted with</t>
  </si>
  <si>
    <t>Evaporative Emissions Mode</t>
  </si>
  <si>
    <t>Change in Emissions</t>
  </si>
  <si>
    <t>Relative Reactivity</t>
  </si>
  <si>
    <t>Fraction</t>
  </si>
  <si>
    <t xml:space="preserve">Percent Change </t>
  </si>
  <si>
    <t>Diurnal and Resting Losses</t>
  </si>
  <si>
    <t>Hot Soak</t>
  </si>
  <si>
    <t>Running Losses</t>
  </si>
  <si>
    <t>OXYGEN VALUES DETERMINATION (For Use in Evap. Benzene Calculations)</t>
  </si>
  <si>
    <t>EVAP BENZENE MODEL PREDICTIONS</t>
  </si>
  <si>
    <t>EVAP THC MODEL PREDICTIONS (g/mi in year 2005 MVEI7G scale)</t>
  </si>
  <si>
    <t xml:space="preserve">MODEL PREDICTIONS FOR BENZENE/THC FRACTIONS </t>
  </si>
  <si>
    <t>EVAP BENZENE EMISSION PREDICTIONS (Product of Evap. THC predictions and Benzene/HC fractions).</t>
  </si>
  <si>
    <t>EVAP MODEL</t>
  </si>
  <si>
    <t>Evap. Mode</t>
  </si>
  <si>
    <t>Max. Oxygen</t>
  </si>
  <si>
    <t>Min. Oxygen</t>
  </si>
  <si>
    <t>Diurnal and Resting</t>
  </si>
  <si>
    <t>Running</t>
  </si>
  <si>
    <t>Sum</t>
  </si>
  <si>
    <t>Predicted % Change</t>
  </si>
  <si>
    <t>The above numbers need to be scaled to the exhaust predictive model scale.</t>
  </si>
  <si>
    <t>in Total Evap.</t>
  </si>
  <si>
    <t>They also need to be multiplied by 1000 to convert from g/mi to mg/mi.</t>
  </si>
  <si>
    <t>The combination of the predicted potency-weighted exhaust toxics and evaporative benzene is done below.</t>
  </si>
  <si>
    <t>Evap. Benzene Emissions Predictions (mg/mi in exhaust toxics PM scale)</t>
  </si>
  <si>
    <t xml:space="preserve">Pot.-Weighted </t>
  </si>
  <si>
    <t>Evap. Benzene</t>
  </si>
  <si>
    <t>The above numbers need to be potency weighted to combine with exhaust predictions</t>
  </si>
  <si>
    <t>Predictions</t>
  </si>
  <si>
    <t>Potency-Weighted Evap. Benzene Emissions</t>
  </si>
  <si>
    <t>Pot.-Weighted</t>
  </si>
  <si>
    <t>Ex. Toxics</t>
  </si>
  <si>
    <t>Tech 3</t>
  </si>
  <si>
    <t>Tech 4</t>
  </si>
  <si>
    <t>Tech 5</t>
  </si>
  <si>
    <t>Composite</t>
  </si>
  <si>
    <t>Total Predicted</t>
  </si>
  <si>
    <t>Toxics</t>
  </si>
  <si>
    <t xml:space="preserve">Max. Oxygen </t>
  </si>
  <si>
    <t>% Change in</t>
  </si>
  <si>
    <t>TEST 7</t>
  </si>
  <si>
    <t>TEST 8</t>
  </si>
  <si>
    <t>INPUTS (from Page Phase 3 PM for PM Flat)</t>
  </si>
  <si>
    <t>Ethanol</t>
  </si>
  <si>
    <t>Y</t>
  </si>
  <si>
    <t>COMPLIANCE OPTION FOR EACH PROPERTY</t>
  </si>
  <si>
    <t>N</t>
  </si>
  <si>
    <t>This spreadsheet uses the California Predictive Model to evaluate alternative specifications for Phase 3 reformulated gasoline</t>
  </si>
  <si>
    <t>This spreadsheet is based on the procedures defined in the California Procedures for Evaluating Alternative Specifications</t>
  </si>
  <si>
    <t xml:space="preserve"> for Phase 3 Reformulated Gasoline Using the California Predictive Model.</t>
  </si>
  <si>
    <t xml:space="preserve">predicitve model candidate fuel property.  The spreadsheet will calculate the percent in emissions reduction between the </t>
  </si>
  <si>
    <t>with the Reformulated Gasoline Regulations.</t>
  </si>
  <si>
    <t>This page summarizes the model predictions and states whether the candidate fuel passes or fails the equivalency criteria.</t>
  </si>
  <si>
    <t xml:space="preserve"> the credit due to CO reductions.</t>
  </si>
  <si>
    <t>Total</t>
  </si>
  <si>
    <t xml:space="preserve">WEIGHT </t>
  </si>
  <si>
    <t>Reactivity</t>
  </si>
  <si>
    <t>Emission</t>
  </si>
  <si>
    <t>Weighted Only</t>
  </si>
  <si>
    <t>RVRV</t>
  </si>
  <si>
    <t>Coefficient</t>
  </si>
  <si>
    <t>Product</t>
  </si>
  <si>
    <t>Ref</t>
  </si>
  <si>
    <t>Candidate</t>
  </si>
  <si>
    <t>Intercept</t>
  </si>
  <si>
    <t>RV</t>
  </si>
  <si>
    <t>T5</t>
  </si>
  <si>
    <t>T9</t>
  </si>
  <si>
    <t>AR</t>
  </si>
  <si>
    <t>OL</t>
  </si>
  <si>
    <t>OX</t>
  </si>
  <si>
    <t>SU</t>
  </si>
  <si>
    <t xml:space="preserve">TECH 4 </t>
  </si>
  <si>
    <t>TOG Exhaust</t>
  </si>
  <si>
    <t>TOG Evap (Reactivity Weighted)</t>
  </si>
  <si>
    <t>POT. TOX.</t>
  </si>
  <si>
    <t>% Oxygen</t>
  </si>
  <si>
    <t>PROC MIXED PARAMETER ESTIMATES (w/o RANDOM BALANCING)</t>
  </si>
  <si>
    <t>Val Used</t>
  </si>
  <si>
    <t>TECH 4, POT</t>
  </si>
  <si>
    <t>TECH 5, POT</t>
  </si>
  <si>
    <t>TECH 4, NOx</t>
  </si>
  <si>
    <t>TECH 5, NOx</t>
  </si>
  <si>
    <t>TECH 4, THC</t>
  </si>
  <si>
    <t>TECH 5, THC</t>
  </si>
  <si>
    <t>TECH 4 (NOx)</t>
  </si>
  <si>
    <t>TECH 4 (THC)</t>
  </si>
  <si>
    <t>TECH 5 (NOx)</t>
  </si>
  <si>
    <t>TECH 5 (THC)</t>
  </si>
  <si>
    <t>CO Model:</t>
  </si>
  <si>
    <t>CO % Change</t>
  </si>
  <si>
    <t>CO Rel. Reactivity</t>
  </si>
  <si>
    <t>CO Reactivity Wt.</t>
  </si>
  <si>
    <t>TECH 4 (CO)</t>
  </si>
  <si>
    <t>PERCENT CHANGE IN PREDICTED EMISSIONS (CANDIDATE RELATIVE TO REFERENCE FUEL):</t>
  </si>
  <si>
    <t>PREDICTED PERCENT CHANGE IN EMISSION (CAN FUEL RELATIVE TO REF FUEL)</t>
  </si>
  <si>
    <t>candidate fuel and the reference fuel and indicate whether the candidate fuel can be use as an alternative fuel for compliance</t>
  </si>
  <si>
    <t xml:space="preserve">Next the user will be required to enter the value of each </t>
  </si>
  <si>
    <t>OXY</t>
  </si>
  <si>
    <t>TECH 5 (CO)</t>
  </si>
  <si>
    <t>Zero</t>
  </si>
  <si>
    <t>Min/Max</t>
  </si>
  <si>
    <t>T50 (Min)</t>
  </si>
  <si>
    <t>T90 (Min)</t>
  </si>
  <si>
    <t>ARO (Max)</t>
  </si>
  <si>
    <t>T50 (Max)</t>
  </si>
  <si>
    <t>OXY (Min)</t>
  </si>
  <si>
    <t>This is done by multiplying by 0.282/0.476 = 0.592</t>
  </si>
  <si>
    <t>Page A computes the exhaust model predictions, while Page B computes the evaporative model predictions, and page C computes</t>
  </si>
  <si>
    <t>CALIFORNIA PREDICTIVE MODEL</t>
  </si>
  <si>
    <t>CARB</t>
  </si>
  <si>
    <t>PM Flat</t>
  </si>
  <si>
    <t>Person Reporting:</t>
  </si>
  <si>
    <t>Phone Number:</t>
  </si>
  <si>
    <t>Comment:</t>
  </si>
  <si>
    <t>Is this fuel being supplied from the production facility as a CARBOB?:</t>
  </si>
  <si>
    <t xml:space="preserve">     If Yes: Specify Oxygenate for downstream blending :</t>
  </si>
  <si>
    <t xml:space="preserve">                 Specify Oxygenate % for downstream blending: (Vol%)</t>
  </si>
  <si>
    <t xml:space="preserve">                 Are you using the default values?:</t>
  </si>
  <si>
    <t>Fuel Parameter</t>
  </si>
  <si>
    <t xml:space="preserve">Compliance </t>
  </si>
  <si>
    <t xml:space="preserve"> Finished Gasoline PM</t>
  </si>
  <si>
    <t>Units</t>
  </si>
  <si>
    <t>Option</t>
  </si>
  <si>
    <t>Alternative Specifications</t>
  </si>
  <si>
    <t>n/a</t>
  </si>
  <si>
    <t>Predictive Model</t>
  </si>
  <si>
    <t>Percent Change in Emissions</t>
  </si>
  <si>
    <t>Pollutants</t>
  </si>
  <si>
    <t xml:space="preserve">The candidate fuel </t>
  </si>
  <si>
    <r>
      <t xml:space="preserve">T50,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</si>
  <si>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r>
      <t xml:space="preserve">T90,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</si>
  <si>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r>
      <t>Max. O</t>
    </r>
    <r>
      <rPr>
        <vertAlign val="subscript"/>
        <sz val="12"/>
        <rFont val="Arial"/>
        <family val="2"/>
      </rPr>
      <t>2</t>
    </r>
  </si>
  <si>
    <r>
      <t>Min. O</t>
    </r>
    <r>
      <rPr>
        <vertAlign val="subscript"/>
        <sz val="12"/>
        <rFont val="Arial"/>
        <family val="2"/>
      </rPr>
      <t>2</t>
    </r>
  </si>
  <si>
    <r>
      <t>Minimum O</t>
    </r>
    <r>
      <rPr>
        <vertAlign val="subscript"/>
        <sz val="12"/>
        <rFont val="Arial"/>
        <family val="2"/>
      </rPr>
      <t>2</t>
    </r>
  </si>
  <si>
    <t>INPUTS</t>
  </si>
  <si>
    <t>Entry Key:</t>
  </si>
  <si>
    <t xml:space="preserve">Required Input </t>
  </si>
  <si>
    <t>Optional Input</t>
  </si>
  <si>
    <t xml:space="preserve">   If Yes, specify Oxygenate for downstream blending :</t>
  </si>
  <si>
    <t xml:space="preserve">               Specify Oxygenate % for downstream blending: (Vol%)</t>
  </si>
  <si>
    <t xml:space="preserve">               Are you using the default values?:</t>
  </si>
  <si>
    <t>If No, enter the following values otherwise, leave blank:</t>
  </si>
  <si>
    <t>Oxygenate Property Values</t>
  </si>
  <si>
    <t>Aromatics</t>
  </si>
  <si>
    <t>Benzene</t>
  </si>
  <si>
    <t>Olefin</t>
  </si>
  <si>
    <t>Sulfur</t>
  </si>
  <si>
    <t xml:space="preserve">and the reference fuel is:  </t>
  </si>
  <si>
    <t xml:space="preserve">request that this report be kept confidential as trade </t>
  </si>
  <si>
    <t xml:space="preserve">secret information pursuant to the California Public Records CA Government Code Section 6250 et seq.  </t>
  </si>
  <si>
    <r>
      <t>Maximum O</t>
    </r>
    <r>
      <rPr>
        <vertAlign val="subscript"/>
        <sz val="12"/>
        <rFont val="Arial"/>
        <family val="2"/>
      </rPr>
      <t>2</t>
    </r>
  </si>
  <si>
    <t>Total Oxides of Nitrogen, (NOx) (gm/mile)</t>
  </si>
  <si>
    <t>Total Exhaust Hydrocarbons, (gm/mile)</t>
  </si>
  <si>
    <t>Total Ozone Forming Potential.</t>
  </si>
  <si>
    <t>Total Potency Weighted Toxins, (mg/mile)</t>
  </si>
  <si>
    <t>-</t>
  </si>
  <si>
    <t>(Y) or (N)</t>
  </si>
  <si>
    <t>(For CARB cross reference purpose)</t>
  </si>
  <si>
    <t>Marine Vessel</t>
  </si>
  <si>
    <t>Cargo Tank Truck or Railcar</t>
  </si>
  <si>
    <t>CARB Code:</t>
  </si>
  <si>
    <t>Facility ID Number:</t>
  </si>
  <si>
    <t>Time (military time):</t>
  </si>
  <si>
    <t>How is this fuel being brought into CA:</t>
  </si>
  <si>
    <t>Name of refinery that produced the fuel:</t>
  </si>
  <si>
    <t xml:space="preserve">City: </t>
  </si>
  <si>
    <t>Country:</t>
  </si>
  <si>
    <t>Heel Vol. in tank</t>
  </si>
  <si>
    <t>Total Imported Volume:</t>
  </si>
  <si>
    <r>
      <t xml:space="preserve">Is this the </t>
    </r>
    <r>
      <rPr>
        <b/>
        <sz val="12"/>
        <rFont val="Arial"/>
        <family val="2"/>
      </rPr>
      <t>FIRST</t>
    </r>
    <r>
      <rPr>
        <sz val="12"/>
        <rFont val="Arial"/>
        <family val="2"/>
      </rPr>
      <t xml:space="preserve"> notification?:</t>
    </r>
  </si>
  <si>
    <r>
      <t xml:space="preserve">Date of notification </t>
    </r>
    <r>
      <rPr>
        <sz val="11"/>
        <rFont val="Arial"/>
        <family val="2"/>
      </rPr>
      <t>(mm/dd/yy):</t>
    </r>
  </si>
  <si>
    <t>Total estimated volume:</t>
  </si>
  <si>
    <t>Notification</t>
  </si>
  <si>
    <t>Star of Transfer Date:</t>
  </si>
  <si>
    <t>Date of Notification:</t>
  </si>
  <si>
    <t>Time of Notification:</t>
  </si>
  <si>
    <t>Start of Transfer Time:</t>
  </si>
  <si>
    <t>Notification ID Number:</t>
  </si>
  <si>
    <t>Location</t>
  </si>
  <si>
    <t>This gasoline is being certified as:</t>
  </si>
  <si>
    <t>The evaporative HC emissions model is:</t>
  </si>
  <si>
    <t>TOT. O3 FORMING POT. (Emis. Wt. TOG exh and evap, including permeation + CO)</t>
  </si>
  <si>
    <t>Importer Name</t>
  </si>
  <si>
    <r>
      <t xml:space="preserve">Motor Fuel Import Notification </t>
    </r>
    <r>
      <rPr>
        <b/>
        <sz val="14"/>
        <rFont val="Arial"/>
        <family val="2"/>
      </rPr>
      <t/>
    </r>
  </si>
  <si>
    <t>CaRFG Phase 3</t>
  </si>
  <si>
    <t>Grade of fuel</t>
  </si>
  <si>
    <t>This form complies with the CaRFG regulations reflecting amendments effective October 9, 2012.</t>
  </si>
  <si>
    <t>, since the percent change in emissions between the candidate fuel</t>
  </si>
  <si>
    <t>Motor Fuel Import Notification</t>
  </si>
  <si>
    <t xml:space="preserve">request  that this report be kept confidential as trade secret </t>
  </si>
  <si>
    <t>information pursuant to the California Public Records CA Government Code Section 6250 et seq.</t>
  </si>
  <si>
    <t>Aromatics, vol.%</t>
  </si>
  <si>
    <t>Benzene, vol.%</t>
  </si>
  <si>
    <t>Olefin, vol.%</t>
  </si>
  <si>
    <t>Sulfur, ppmw.</t>
  </si>
  <si>
    <t>Total Oxy, wt.%</t>
  </si>
  <si>
    <r>
      <rPr>
        <b/>
        <u/>
        <sz val="16"/>
        <color rgb="FF7030A0"/>
        <rFont val="Arial"/>
        <family val="2"/>
      </rPr>
      <t>IMPORTERS</t>
    </r>
    <r>
      <rPr>
        <b/>
        <sz val="16"/>
        <color indexed="10"/>
        <rFont val="Arial"/>
        <family val="2"/>
      </rPr>
      <t xml:space="preserve"> - </t>
    </r>
    <r>
      <rPr>
        <b/>
        <u/>
        <sz val="16"/>
        <color indexed="10"/>
        <rFont val="Arial"/>
        <family val="2"/>
      </rPr>
      <t>PHASE 3 RFG CARB PM FOR COMPLIANCE OPTION FLAT</t>
    </r>
  </si>
  <si>
    <t>This PM spreadsheet complies with the CaRFG regulations reflecting amendments effective October 9,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</si>
</sst>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164" formatCode="0.0"/>
    <numFmt numFmtId="165" formatCode="0.0000"/>
    <numFmt numFmtId="166" formatCode="0.00000"/>
    <numFmt numFmtId="167" formatCode="0.000"/>
    <numFmt numFmtId="168" formatCode="0.00000000"/>
    <numFmt numFmtId="169" formatCode="0;[Red]0"/>
    <numFmt numFmtId="170" formatCode="0.000000"/>
    <numFmt numFmtId="171" formatCode="[$-409]d\-mmm\-yy;@"/>
    <numFmt numFmtId="172" formatCode="#,##0.0_);\(#,##0.0\)"/>
    <numFmt numFmtId="173" formatCode="General&quot; mile&quot;"/>
    <numFmt numFmtId="174" formatCode="General&quot;''&quot;"/>
    <numFmt numFmtId="175" formatCode="dd\-mmm\-yy"/>
    <numFmt numFmtId="176" formatCode="[&lt;=9999999]###\-####;\(###\)\ ###\-####"/>
    <numFmt numFmtId="177" formatCode="ddmmyy"/>
    <numFmt numFmtId="178" formatCode="[$-409]h:mm\ AM/PM;@"/>
    <numFmt numFmtId="179" formatCode="[$-409]d\-mmm\-yyyy;@"/>
  </numFmts>
  <fonts count="54" x14ac:knownFonts="1">
    <font>
      <sz val="10"/>
      <name val="Arial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16"/>
      <color indexed="10"/>
      <name val="Arial"/>
      <family val="2"/>
    </font>
    <font>
      <u/>
      <sz val="10"/>
      <name val="Arial"/>
      <family val="2"/>
    </font>
    <font>
      <b/>
      <sz val="12"/>
      <color indexed="33"/>
      <name val="Arial"/>
      <family val="2"/>
    </font>
    <font>
      <b/>
      <sz val="24"/>
      <color indexed="10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b/>
      <sz val="14"/>
      <color indexed="10"/>
      <name val="Arial"/>
      <family val="2"/>
    </font>
    <font>
      <b/>
      <u/>
      <sz val="8"/>
      <name val="Arial"/>
      <family val="2"/>
    </font>
    <font>
      <b/>
      <u/>
      <sz val="12"/>
      <color indexed="48"/>
      <name val="Arial"/>
      <family val="2"/>
    </font>
    <font>
      <b/>
      <sz val="12"/>
      <color indexed="12"/>
      <name val="Arial"/>
      <family val="2"/>
    </font>
    <font>
      <b/>
      <sz val="8"/>
      <color indexed="81"/>
      <name val="Tahoma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u/>
      <sz val="12"/>
      <color indexed="10"/>
      <name val="Arial"/>
      <family val="2"/>
    </font>
    <font>
      <sz val="10"/>
      <color indexed="10"/>
      <name val="Arial"/>
      <family val="2"/>
    </font>
    <font>
      <sz val="10.7"/>
      <name val="Arial"/>
      <family val="2"/>
    </font>
    <font>
      <sz val="10"/>
      <name val="Arial"/>
      <family val="2"/>
    </font>
    <font>
      <b/>
      <u/>
      <sz val="14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16"/>
      <color rgb="FF7030A0"/>
      <name val="Arial"/>
      <family val="2"/>
    </font>
    <font>
      <b/>
      <sz val="16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18"/>
      </patternFill>
    </fill>
    <fill>
      <patternFill patternType="solid">
        <fgColor indexed="31"/>
        <bgColor indexed="18"/>
      </patternFill>
    </fill>
    <fill>
      <patternFill patternType="solid">
        <fgColor indexed="27"/>
        <bgColor indexed="1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8"/>
      </patternFill>
    </fill>
    <fill>
      <patternFill patternType="solid">
        <fgColor indexed="41"/>
        <bgColor indexed="18"/>
      </patternFill>
    </fill>
    <fill>
      <patternFill patternType="solid">
        <fgColor indexed="43"/>
        <bgColor indexed="18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72" fontId="36" fillId="0" borderId="1" applyFont="0" applyFill="0" applyBorder="0" applyAlignment="0" applyProtection="0">
      <alignment horizontal="center"/>
    </xf>
    <xf numFmtId="164" fontId="36" fillId="0" borderId="1" applyFon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4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36" fillId="0" borderId="0" applyNumberFormat="0" applyFont="0" applyFill="0" applyBorder="0" applyProtection="0">
      <alignment horizontal="left" vertical="center" wrapText="1"/>
    </xf>
  </cellStyleXfs>
  <cellXfs count="462">
    <xf numFmtId="0" fontId="0" fillId="0" borderId="0" xfId="0"/>
    <xf numFmtId="0" fontId="1" fillId="0" borderId="0" xfId="0" applyFont="1" applyProtection="1"/>
    <xf numFmtId="0" fontId="1" fillId="0" borderId="0" xfId="11" applyFont="1" applyProtection="1"/>
    <xf numFmtId="0" fontId="1" fillId="0" borderId="0" xfId="11" applyFont="1" applyBorder="1" applyProtection="1"/>
    <xf numFmtId="0" fontId="4" fillId="0" borderId="0" xfId="11" applyFont="1" applyProtection="1"/>
    <xf numFmtId="0" fontId="5" fillId="0" borderId="0" xfId="11" applyFont="1" applyProtection="1"/>
    <xf numFmtId="2" fontId="1" fillId="0" borderId="0" xfId="11" applyNumberFormat="1" applyFont="1" applyProtection="1"/>
    <xf numFmtId="164" fontId="1" fillId="0" borderId="0" xfId="11" applyNumberFormat="1" applyFont="1" applyProtection="1"/>
    <xf numFmtId="168" fontId="1" fillId="0" borderId="0" xfId="11" applyNumberFormat="1" applyFont="1" applyProtection="1"/>
    <xf numFmtId="168" fontId="1" fillId="0" borderId="0" xfId="0" applyNumberFormat="1" applyFont="1" applyProtection="1"/>
    <xf numFmtId="164" fontId="4" fillId="0" borderId="0" xfId="11" applyNumberFormat="1" applyFont="1" applyProtection="1"/>
    <xf numFmtId="0" fontId="8" fillId="0" borderId="0" xfId="0" applyFont="1" applyProtection="1"/>
    <xf numFmtId="0" fontId="7" fillId="0" borderId="0" xfId="11" applyFont="1" applyAlignment="1" applyProtection="1">
      <alignment horizontal="left"/>
    </xf>
    <xf numFmtId="0" fontId="1" fillId="0" borderId="0" xfId="1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2" fontId="10" fillId="2" borderId="3" xfId="11" applyNumberFormat="1" applyFont="1" applyFill="1" applyBorder="1" applyAlignment="1" applyProtection="1">
      <alignment horizontal="center"/>
      <protection locked="0"/>
    </xf>
    <xf numFmtId="1" fontId="10" fillId="2" borderId="4" xfId="11" applyNumberFormat="1" applyFont="1" applyFill="1" applyBorder="1" applyAlignment="1" applyProtection="1">
      <alignment horizontal="center"/>
      <protection locked="0"/>
    </xf>
    <xf numFmtId="164" fontId="10" fillId="2" borderId="4" xfId="11" applyNumberFormat="1" applyFont="1" applyFill="1" applyBorder="1" applyAlignment="1" applyProtection="1">
      <alignment horizontal="center"/>
      <protection locked="0"/>
    </xf>
    <xf numFmtId="164" fontId="10" fillId="2" borderId="5" xfId="11" applyNumberFormat="1" applyFont="1" applyFill="1" applyBorder="1" applyAlignment="1" applyProtection="1">
      <alignment horizontal="center"/>
      <protection locked="0"/>
    </xf>
    <xf numFmtId="164" fontId="10" fillId="2" borderId="3" xfId="11" applyNumberFormat="1" applyFont="1" applyFill="1" applyBorder="1" applyAlignment="1" applyProtection="1">
      <alignment horizontal="center"/>
      <protection locked="0"/>
    </xf>
    <xf numFmtId="2" fontId="10" fillId="2" borderId="5" xfId="11" applyNumberFormat="1" applyFont="1" applyFill="1" applyBorder="1" applyAlignment="1" applyProtection="1">
      <alignment horizontal="center"/>
      <protection locked="0"/>
    </xf>
    <xf numFmtId="0" fontId="9" fillId="0" borderId="0" xfId="11" applyFont="1" applyProtection="1"/>
    <xf numFmtId="0" fontId="9" fillId="0" borderId="0" xfId="0" applyFont="1" applyProtection="1"/>
    <xf numFmtId="0" fontId="0" fillId="0" borderId="0" xfId="0" applyAlignment="1" applyProtection="1"/>
    <xf numFmtId="1" fontId="10" fillId="2" borderId="6" xfId="11" applyNumberFormat="1" applyFont="1" applyFill="1" applyBorder="1" applyAlignment="1" applyProtection="1">
      <alignment horizontal="center"/>
      <protection locked="0"/>
    </xf>
    <xf numFmtId="0" fontId="4" fillId="0" borderId="0" xfId="11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5" fillId="0" borderId="0" xfId="12" applyFont="1" applyFill="1" applyProtection="1"/>
    <xf numFmtId="0" fontId="1" fillId="0" borderId="0" xfId="0" applyFont="1" applyFill="1" applyProtection="1"/>
    <xf numFmtId="0" fontId="1" fillId="0" borderId="0" xfId="11" applyFont="1" applyFill="1" applyBorder="1" applyAlignment="1" applyProtection="1">
      <alignment horizontal="center"/>
    </xf>
    <xf numFmtId="0" fontId="19" fillId="0" borderId="0" xfId="0" applyFont="1" applyProtection="1"/>
    <xf numFmtId="2" fontId="1" fillId="0" borderId="0" xfId="11" applyNumberFormat="1" applyFont="1" applyFill="1" applyProtection="1"/>
    <xf numFmtId="0" fontId="18" fillId="0" borderId="0" xfId="11" applyFont="1" applyProtection="1"/>
    <xf numFmtId="0" fontId="6" fillId="0" borderId="7" xfId="0" applyFont="1" applyFill="1" applyBorder="1" applyAlignment="1" applyProtection="1">
      <alignment horizontal="center"/>
    </xf>
    <xf numFmtId="170" fontId="1" fillId="0" borderId="0" xfId="0" applyNumberFormat="1" applyFont="1" applyFill="1" applyProtection="1"/>
    <xf numFmtId="0" fontId="16" fillId="0" borderId="0" xfId="0" applyFont="1" applyFill="1" applyAlignment="1" applyProtection="1"/>
    <xf numFmtId="0" fontId="9" fillId="0" borderId="0" xfId="11" applyFont="1" applyAlignment="1" applyProtection="1"/>
    <xf numFmtId="0" fontId="11" fillId="0" borderId="0" xfId="0" applyFont="1" applyAlignment="1" applyProtection="1"/>
    <xf numFmtId="2" fontId="1" fillId="0" borderId="0" xfId="0" applyNumberFormat="1" applyFont="1" applyProtection="1"/>
    <xf numFmtId="2" fontId="1" fillId="0" borderId="0" xfId="11" applyNumberFormat="1" applyFont="1" applyAlignment="1" applyProtection="1"/>
    <xf numFmtId="0" fontId="10" fillId="2" borderId="7" xfId="0" applyFont="1" applyFill="1" applyBorder="1" applyAlignment="1" applyProtection="1">
      <alignment horizontal="center"/>
      <protection locked="0"/>
    </xf>
    <xf numFmtId="0" fontId="4" fillId="0" borderId="0" xfId="11" applyFont="1" applyAlignment="1" applyProtection="1">
      <alignment horizontal="left"/>
    </xf>
    <xf numFmtId="0" fontId="9" fillId="0" borderId="0" xfId="11" applyFont="1" applyFill="1" applyProtection="1"/>
    <xf numFmtId="165" fontId="1" fillId="0" borderId="0" xfId="0" applyNumberFormat="1" applyFont="1" applyFill="1" applyProtection="1"/>
    <xf numFmtId="0" fontId="5" fillId="0" borderId="0" xfId="12" applyFont="1" applyFill="1" applyAlignment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2" fontId="10" fillId="0" borderId="8" xfId="12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12" applyFont="1" applyFill="1" applyProtection="1"/>
    <xf numFmtId="1" fontId="10" fillId="0" borderId="9" xfId="0" applyNumberFormat="1" applyFont="1" applyFill="1" applyBorder="1" applyAlignment="1" applyProtection="1">
      <alignment horizontal="center"/>
    </xf>
    <xf numFmtId="164" fontId="10" fillId="0" borderId="9" xfId="0" applyNumberFormat="1" applyFont="1" applyFill="1" applyBorder="1" applyAlignment="1" applyProtection="1">
      <alignment horizontal="center"/>
    </xf>
    <xf numFmtId="164" fontId="10" fillId="0" borderId="10" xfId="0" applyNumberFormat="1" applyFont="1" applyFill="1" applyBorder="1" applyAlignment="1" applyProtection="1">
      <alignment horizontal="center"/>
    </xf>
    <xf numFmtId="164" fontId="10" fillId="0" borderId="8" xfId="0" applyNumberFormat="1" applyFont="1" applyFill="1" applyBorder="1" applyAlignment="1" applyProtection="1">
      <alignment horizontal="center"/>
    </xf>
    <xf numFmtId="164" fontId="10" fillId="0" borderId="11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2" fontId="10" fillId="0" borderId="10" xfId="0" applyNumberFormat="1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165" fontId="4" fillId="0" borderId="0" xfId="12" applyNumberFormat="1" applyFont="1" applyFill="1" applyProtection="1"/>
    <xf numFmtId="0" fontId="10" fillId="0" borderId="9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" fillId="0" borderId="0" xfId="12" applyFont="1" applyFill="1" applyAlignment="1" applyProtection="1">
      <alignment horizontal="left"/>
    </xf>
    <xf numFmtId="165" fontId="1" fillId="0" borderId="0" xfId="12" applyNumberFormat="1" applyFont="1" applyFill="1" applyProtection="1"/>
    <xf numFmtId="164" fontId="1" fillId="0" borderId="0" xfId="12" applyNumberFormat="1" applyFont="1" applyFill="1" applyProtection="1"/>
    <xf numFmtId="164" fontId="1" fillId="0" borderId="0" xfId="0" applyNumberFormat="1" applyFont="1" applyFill="1" applyProtection="1"/>
    <xf numFmtId="0" fontId="1" fillId="0" borderId="14" xfId="12" applyFont="1" applyFill="1" applyBorder="1" applyProtection="1"/>
    <xf numFmtId="164" fontId="1" fillId="0" borderId="15" xfId="12" applyNumberFormat="1" applyFont="1" applyFill="1" applyBorder="1" applyProtection="1"/>
    <xf numFmtId="0" fontId="1" fillId="0" borderId="16" xfId="12" applyFont="1" applyFill="1" applyBorder="1" applyProtection="1"/>
    <xf numFmtId="0" fontId="1" fillId="0" borderId="15" xfId="12" applyFont="1" applyFill="1" applyBorder="1" applyProtection="1"/>
    <xf numFmtId="165" fontId="1" fillId="0" borderId="15" xfId="12" applyNumberFormat="1" applyFont="1" applyFill="1" applyBorder="1" applyProtection="1"/>
    <xf numFmtId="2" fontId="1" fillId="0" borderId="0" xfId="0" applyNumberFormat="1" applyFont="1" applyFill="1" applyProtection="1"/>
    <xf numFmtId="1" fontId="1" fillId="0" borderId="0" xfId="0" applyNumberFormat="1" applyFont="1" applyFill="1" applyProtection="1"/>
    <xf numFmtId="167" fontId="1" fillId="0" borderId="0" xfId="12" applyNumberFormat="1" applyFont="1" applyFill="1" applyAlignment="1" applyProtection="1">
      <alignment horizontal="center"/>
    </xf>
    <xf numFmtId="164" fontId="1" fillId="0" borderId="0" xfId="12" applyNumberFormat="1" applyFont="1" applyFill="1" applyAlignment="1" applyProtection="1">
      <alignment horizontal="center"/>
    </xf>
    <xf numFmtId="166" fontId="1" fillId="0" borderId="0" xfId="0" applyNumberFormat="1" applyFont="1" applyFill="1" applyProtection="1"/>
    <xf numFmtId="167" fontId="1" fillId="0" borderId="0" xfId="0" applyNumberFormat="1" applyFont="1" applyFill="1" applyProtection="1"/>
    <xf numFmtId="165" fontId="1" fillId="0" borderId="0" xfId="12" applyNumberFormat="1" applyFont="1" applyFill="1" applyAlignment="1" applyProtection="1">
      <alignment horizontal="center"/>
    </xf>
    <xf numFmtId="1" fontId="1" fillId="0" borderId="0" xfId="12" applyNumberFormat="1" applyFont="1" applyFill="1" applyProtection="1"/>
    <xf numFmtId="0" fontId="0" fillId="0" borderId="0" xfId="0" applyProtection="1"/>
    <xf numFmtId="0" fontId="1" fillId="0" borderId="0" xfId="12" applyFont="1" applyFill="1" applyAlignment="1" applyProtection="1">
      <alignment horizontal="center"/>
    </xf>
    <xf numFmtId="170" fontId="7" fillId="0" borderId="0" xfId="0" applyNumberFormat="1" applyFont="1" applyFill="1" applyProtection="1"/>
    <xf numFmtId="170" fontId="7" fillId="0" borderId="0" xfId="0" applyNumberFormat="1" applyFont="1" applyProtection="1"/>
    <xf numFmtId="170" fontId="7" fillId="0" borderId="0" xfId="12" applyNumberFormat="1" applyFont="1" applyFill="1" applyAlignment="1" applyProtection="1">
      <alignment horizontal="right"/>
    </xf>
    <xf numFmtId="0" fontId="1" fillId="0" borderId="0" xfId="12" applyFont="1" applyFill="1" applyAlignment="1" applyProtection="1">
      <alignment horizontal="right"/>
    </xf>
    <xf numFmtId="0" fontId="1" fillId="0" borderId="0" xfId="12" applyFont="1" applyFill="1" applyProtection="1"/>
    <xf numFmtId="164" fontId="1" fillId="0" borderId="0" xfId="12" applyNumberFormat="1" applyFont="1" applyFill="1" applyAlignment="1" applyProtection="1">
      <alignment horizontal="right"/>
    </xf>
    <xf numFmtId="0" fontId="1" fillId="0" borderId="0" xfId="13" applyFont="1" applyFill="1" applyAlignment="1" applyProtection="1">
      <alignment horizontal="center"/>
    </xf>
    <xf numFmtId="0" fontId="1" fillId="0" borderId="17" xfId="0" applyFont="1" applyFill="1" applyBorder="1" applyProtection="1"/>
    <xf numFmtId="166" fontId="1" fillId="0" borderId="17" xfId="0" applyNumberFormat="1" applyFont="1" applyFill="1" applyBorder="1" applyProtection="1"/>
    <xf numFmtId="167" fontId="1" fillId="0" borderId="17" xfId="0" applyNumberFormat="1" applyFont="1" applyFill="1" applyBorder="1" applyProtection="1"/>
    <xf numFmtId="165" fontId="1" fillId="0" borderId="17" xfId="0" applyNumberFormat="1" applyFont="1" applyFill="1" applyBorder="1" applyProtection="1"/>
    <xf numFmtId="0" fontId="1" fillId="0" borderId="14" xfId="13" applyFont="1" applyFill="1" applyBorder="1" applyProtection="1"/>
    <xf numFmtId="164" fontId="1" fillId="0" borderId="15" xfId="13" applyNumberFormat="1" applyFont="1" applyFill="1" applyBorder="1" applyProtection="1"/>
    <xf numFmtId="0" fontId="0" fillId="0" borderId="0" xfId="0" applyFill="1" applyBorder="1" applyProtection="1"/>
    <xf numFmtId="164" fontId="10" fillId="0" borderId="0" xfId="11" applyNumberFormat="1" applyFont="1" applyFill="1" applyBorder="1" applyAlignment="1" applyProtection="1">
      <alignment horizontal="center"/>
    </xf>
    <xf numFmtId="1" fontId="10" fillId="0" borderId="0" xfId="11" applyNumberFormat="1" applyFont="1" applyFill="1" applyBorder="1" applyAlignment="1" applyProtection="1">
      <alignment horizontal="center"/>
    </xf>
    <xf numFmtId="2" fontId="10" fillId="0" borderId="0" xfId="11" applyNumberFormat="1" applyFont="1" applyFill="1" applyBorder="1" applyAlignment="1" applyProtection="1">
      <alignment horizontal="center"/>
    </xf>
    <xf numFmtId="170" fontId="1" fillId="0" borderId="0" xfId="0" applyNumberFormat="1" applyFont="1" applyProtection="1"/>
    <xf numFmtId="2" fontId="1" fillId="0" borderId="7" xfId="0" applyNumberFormat="1" applyFont="1" applyFill="1" applyBorder="1" applyProtection="1"/>
    <xf numFmtId="1" fontId="0" fillId="0" borderId="0" xfId="0" applyNumberFormat="1" applyFont="1" applyBorder="1" applyProtection="1"/>
    <xf numFmtId="0" fontId="0" fillId="0" borderId="0" xfId="0" applyFont="1" applyBorder="1" applyProtection="1"/>
    <xf numFmtId="2" fontId="0" fillId="0" borderId="0" xfId="0" applyNumberFormat="1" applyFont="1" applyBorder="1" applyProtection="1"/>
    <xf numFmtId="0" fontId="6" fillId="0" borderId="0" xfId="11" applyFont="1" applyAlignment="1" applyProtection="1"/>
    <xf numFmtId="0" fontId="0" fillId="0" borderId="0" xfId="0" applyAlignment="1" applyProtection="1">
      <protection locked="0"/>
    </xf>
    <xf numFmtId="0" fontId="0" fillId="0" borderId="0" xfId="0" applyAlignment="1"/>
    <xf numFmtId="0" fontId="22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/>
    <xf numFmtId="0" fontId="0" fillId="0" borderId="0" xfId="0" applyFill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0" fontId="10" fillId="0" borderId="23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" fontId="0" fillId="0" borderId="0" xfId="0" applyNumberFormat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0" xfId="11" applyFont="1" applyAlignment="1">
      <alignment horizontal="left"/>
    </xf>
    <xf numFmtId="0" fontId="26" fillId="0" borderId="0" xfId="11" applyFont="1" applyAlignment="1">
      <alignment horizontal="center"/>
    </xf>
    <xf numFmtId="164" fontId="24" fillId="0" borderId="0" xfId="11" applyNumberFormat="1" applyFont="1"/>
    <xf numFmtId="0" fontId="24" fillId="0" borderId="0" xfId="0" applyFont="1"/>
    <xf numFmtId="0" fontId="0" fillId="0" borderId="0" xfId="0" applyAlignment="1">
      <alignment horizontal="center"/>
    </xf>
    <xf numFmtId="0" fontId="22" fillId="0" borderId="0" xfId="11" applyFont="1" applyProtection="1"/>
    <xf numFmtId="0" fontId="1" fillId="0" borderId="0" xfId="0" applyFont="1"/>
    <xf numFmtId="164" fontId="10" fillId="2" borderId="29" xfId="11" applyNumberFormat="1" applyFont="1" applyFill="1" applyBorder="1" applyAlignment="1" applyProtection="1">
      <alignment horizontal="center"/>
      <protection locked="0"/>
    </xf>
    <xf numFmtId="0" fontId="1" fillId="0" borderId="9" xfId="11" applyFont="1" applyBorder="1" applyAlignment="1" applyProtection="1">
      <alignment horizontal="center"/>
    </xf>
    <xf numFmtId="0" fontId="6" fillId="0" borderId="13" xfId="0" applyFont="1" applyBorder="1" applyProtection="1"/>
    <xf numFmtId="164" fontId="6" fillId="0" borderId="13" xfId="0" applyNumberFormat="1" applyFont="1" applyBorder="1" applyProtection="1"/>
    <xf numFmtId="1" fontId="6" fillId="0" borderId="30" xfId="0" applyNumberFormat="1" applyFont="1" applyBorder="1" applyProtection="1"/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4" fontId="19" fillId="0" borderId="0" xfId="0" applyNumberFormat="1" applyFont="1" applyProtection="1"/>
    <xf numFmtId="164" fontId="10" fillId="2" borderId="3" xfId="0" applyNumberFormat="1" applyFont="1" applyFill="1" applyBorder="1" applyAlignment="1" applyProtection="1">
      <alignment horizontal="center"/>
      <protection locked="0"/>
    </xf>
    <xf numFmtId="2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" fontId="10" fillId="2" borderId="5" xfId="0" applyNumberFormat="1" applyFont="1" applyFill="1" applyBorder="1" applyAlignment="1" applyProtection="1">
      <alignment horizontal="center"/>
      <protection locked="0"/>
    </xf>
    <xf numFmtId="0" fontId="9" fillId="3" borderId="7" xfId="11" applyFont="1" applyFill="1" applyBorder="1" applyAlignment="1" applyProtection="1">
      <alignment horizontal="center"/>
    </xf>
    <xf numFmtId="0" fontId="32" fillId="0" borderId="0" xfId="0" applyFont="1" applyProtection="1"/>
    <xf numFmtId="0" fontId="32" fillId="0" borderId="0" xfId="11" applyFont="1" applyBorder="1" applyProtection="1"/>
    <xf numFmtId="0" fontId="0" fillId="0" borderId="0" xfId="0" applyAlignment="1">
      <alignment horizontal="left"/>
    </xf>
    <xf numFmtId="0" fontId="28" fillId="0" borderId="0" xfId="11" applyFont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19" fillId="0" borderId="25" xfId="0" applyFont="1" applyBorder="1" applyProtection="1"/>
    <xf numFmtId="0" fontId="19" fillId="0" borderId="31" xfId="0" applyFont="1" applyBorder="1" applyProtection="1"/>
    <xf numFmtId="0" fontId="10" fillId="2" borderId="8" xfId="11" applyFont="1" applyFill="1" applyBorder="1" applyAlignment="1" applyProtection="1">
      <alignment horizontal="center"/>
    </xf>
    <xf numFmtId="0" fontId="10" fillId="0" borderId="0" xfId="11" applyFont="1" applyBorder="1" applyAlignment="1" applyProtection="1">
      <alignment horizontal="center"/>
    </xf>
    <xf numFmtId="0" fontId="10" fillId="2" borderId="9" xfId="11" applyFont="1" applyFill="1" applyBorder="1" applyAlignment="1" applyProtection="1">
      <alignment horizontal="center"/>
    </xf>
    <xf numFmtId="0" fontId="10" fillId="2" borderId="10" xfId="1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0" fillId="0" borderId="0" xfId="0" applyFont="1" applyAlignment="1" applyProtection="1"/>
    <xf numFmtId="0" fontId="2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22" fontId="7" fillId="0" borderId="0" xfId="0" applyNumberFormat="1" applyFont="1" applyAlignment="1">
      <alignment horizontal="left"/>
    </xf>
    <xf numFmtId="0" fontId="2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22" fontId="7" fillId="0" borderId="0" xfId="0" applyNumberFormat="1" applyFont="1" applyAlignment="1" applyProtection="1">
      <alignment horizontal="left"/>
    </xf>
    <xf numFmtId="18" fontId="40" fillId="0" borderId="32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10" fillId="5" borderId="33" xfId="0" applyFont="1" applyFill="1" applyBorder="1" applyAlignment="1" applyProtection="1">
      <alignment horizontal="center"/>
      <protection locked="0"/>
    </xf>
    <xf numFmtId="177" fontId="7" fillId="0" borderId="0" xfId="0" applyNumberFormat="1" applyFont="1" applyFill="1" applyBorder="1" applyAlignment="1" applyProtection="1">
      <alignment horizontal="center"/>
    </xf>
    <xf numFmtId="0" fontId="39" fillId="0" borderId="0" xfId="0" applyFont="1" applyBorder="1" applyAlignment="1" applyProtection="1"/>
    <xf numFmtId="0" fontId="10" fillId="0" borderId="33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10" fillId="6" borderId="34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Protection="1"/>
    <xf numFmtId="176" fontId="10" fillId="0" borderId="0" xfId="0" applyNumberFormat="1" applyFont="1" applyFill="1" applyAlignment="1" applyProtection="1">
      <alignment horizontal="left"/>
    </xf>
    <xf numFmtId="0" fontId="41" fillId="0" borderId="0" xfId="0" applyFont="1" applyProtection="1"/>
    <xf numFmtId="0" fontId="7" fillId="0" borderId="0" xfId="0" applyFont="1" applyAlignment="1" applyProtection="1"/>
    <xf numFmtId="175" fontId="10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0" fillId="0" borderId="0" xfId="0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/>
    <xf numFmtId="0" fontId="10" fillId="0" borderId="0" xfId="0" applyFont="1" applyFill="1" applyAlignment="1" applyProtection="1"/>
    <xf numFmtId="0" fontId="7" fillId="0" borderId="35" xfId="0" applyFont="1" applyFill="1" applyBorder="1" applyAlignment="1" applyProtection="1">
      <alignment horizontal="center"/>
    </xf>
    <xf numFmtId="0" fontId="41" fillId="0" borderId="22" xfId="0" applyFont="1" applyBorder="1" applyAlignment="1" applyProtection="1"/>
    <xf numFmtId="0" fontId="41" fillId="0" borderId="0" xfId="0" applyFont="1" applyAlignment="1" applyProtection="1"/>
    <xf numFmtId="0" fontId="41" fillId="0" borderId="0" xfId="0" applyFont="1" applyFill="1" applyBorder="1" applyAlignment="1" applyProtection="1">
      <alignment horizontal="center"/>
    </xf>
    <xf numFmtId="0" fontId="10" fillId="5" borderId="18" xfId="0" applyFont="1" applyFill="1" applyBorder="1" applyAlignment="1" applyProtection="1">
      <alignment horizontal="center"/>
      <protection locked="0"/>
    </xf>
    <xf numFmtId="0" fontId="41" fillId="0" borderId="22" xfId="0" applyFont="1" applyFill="1" applyBorder="1" applyAlignment="1" applyProtection="1">
      <alignment horizontal="center"/>
    </xf>
    <xf numFmtId="0" fontId="10" fillId="5" borderId="19" xfId="0" applyFont="1" applyFill="1" applyBorder="1" applyAlignment="1" applyProtection="1">
      <alignment horizontal="center"/>
      <protection locked="0"/>
    </xf>
    <xf numFmtId="49" fontId="19" fillId="0" borderId="22" xfId="0" applyNumberFormat="1" applyFont="1" applyBorder="1" applyAlignment="1" applyProtection="1"/>
    <xf numFmtId="0" fontId="39" fillId="0" borderId="0" xfId="0" applyFont="1" applyAlignment="1" applyProtection="1"/>
    <xf numFmtId="0" fontId="42" fillId="0" borderId="0" xfId="0" applyFont="1" applyAlignment="1" applyProtection="1">
      <alignment horizontal="left"/>
    </xf>
    <xf numFmtId="0" fontId="43" fillId="0" borderId="0" xfId="0" applyFont="1" applyAlignment="1" applyProtection="1">
      <alignment horizontal="left"/>
    </xf>
    <xf numFmtId="0" fontId="24" fillId="0" borderId="0" xfId="0" applyFont="1" applyAlignment="1" applyProtection="1"/>
    <xf numFmtId="0" fontId="0" fillId="0" borderId="0" xfId="0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45" fillId="0" borderId="0" xfId="0" applyFont="1" applyAlignment="1" applyProtection="1">
      <alignment horizontal="center"/>
    </xf>
    <xf numFmtId="0" fontId="45" fillId="0" borderId="0" xfId="0" applyFont="1" applyAlignment="1" applyProtection="1"/>
    <xf numFmtId="22" fontId="40" fillId="0" borderId="35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49" fillId="0" borderId="24" xfId="0" applyFont="1" applyBorder="1" applyAlignment="1">
      <alignment horizontal="left" indent="2"/>
    </xf>
    <xf numFmtId="0" fontId="50" fillId="0" borderId="66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4" fontId="19" fillId="0" borderId="0" xfId="0" applyNumberFormat="1" applyFont="1" applyBorder="1" applyProtection="1"/>
    <xf numFmtId="0" fontId="0" fillId="0" borderId="0" xfId="0" applyAlignment="1" applyProtection="1"/>
    <xf numFmtId="0" fontId="9" fillId="0" borderId="0" xfId="0" applyFont="1" applyAlignment="1" applyProtection="1">
      <alignment horizontal="left"/>
    </xf>
    <xf numFmtId="0" fontId="9" fillId="0" borderId="7" xfId="0" applyFont="1" applyFill="1" applyBorder="1" applyAlignment="1" applyProtection="1">
      <alignment horizontal="center"/>
    </xf>
    <xf numFmtId="0" fontId="49" fillId="0" borderId="0" xfId="0" applyFont="1" applyProtection="1"/>
    <xf numFmtId="0" fontId="49" fillId="0" borderId="0" xfId="0" applyFont="1" applyFill="1" applyProtection="1"/>
    <xf numFmtId="168" fontId="1" fillId="0" borderId="0" xfId="0" applyNumberFormat="1" applyFont="1" applyAlignment="1" applyProtection="1">
      <alignment horizontal="center"/>
    </xf>
    <xf numFmtId="0" fontId="0" fillId="0" borderId="0" xfId="0" applyAlignment="1"/>
    <xf numFmtId="0" fontId="24" fillId="0" borderId="0" xfId="0" applyFont="1" applyAlignment="1"/>
    <xf numFmtId="0" fontId="7" fillId="0" borderId="0" xfId="0" applyFont="1" applyAlignment="1" applyProtection="1"/>
    <xf numFmtId="0" fontId="1" fillId="0" borderId="2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1" fillId="0" borderId="0" xfId="0" applyFont="1" applyBorder="1" applyAlignment="1">
      <alignment horizontal="left"/>
    </xf>
    <xf numFmtId="0" fontId="53" fillId="0" borderId="0" xfId="11" applyFont="1" applyAlignment="1">
      <alignment horizontal="right"/>
    </xf>
    <xf numFmtId="0" fontId="53" fillId="0" borderId="0" xfId="11" applyFont="1" applyAlignment="1" applyProtection="1"/>
    <xf numFmtId="0" fontId="1" fillId="0" borderId="22" xfId="0" applyFont="1" applyBorder="1" applyAlignment="1">
      <alignment horizontal="left" indent="2"/>
    </xf>
    <xf numFmtId="0" fontId="6" fillId="0" borderId="36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48" fillId="0" borderId="0" xfId="0" applyFont="1" applyAlignment="1" applyProtection="1">
      <alignment horizontal="right"/>
    </xf>
    <xf numFmtId="0" fontId="48" fillId="0" borderId="0" xfId="0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37" xfId="0" applyFont="1" applyBorder="1" applyAlignment="1" applyProtection="1"/>
    <xf numFmtId="0" fontId="5" fillId="0" borderId="0" xfId="11" applyFont="1" applyAlignment="1" applyProtection="1"/>
    <xf numFmtId="0" fontId="0" fillId="0" borderId="0" xfId="0" applyAlignment="1" applyProtection="1"/>
    <xf numFmtId="0" fontId="29" fillId="0" borderId="0" xfId="0" applyFont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164" fontId="4" fillId="0" borderId="13" xfId="11" applyNumberFormat="1" applyFont="1" applyBorder="1" applyAlignment="1" applyProtection="1"/>
    <xf numFmtId="0" fontId="33" fillId="3" borderId="36" xfId="11" applyFont="1" applyFill="1" applyBorder="1" applyAlignment="1" applyProtection="1"/>
    <xf numFmtId="0" fontId="34" fillId="3" borderId="11" xfId="0" applyFont="1" applyFill="1" applyBorder="1" applyAlignment="1" applyProtection="1"/>
    <xf numFmtId="0" fontId="34" fillId="3" borderId="29" xfId="0" applyFont="1" applyFill="1" applyBorder="1" applyAlignment="1" applyProtection="1"/>
    <xf numFmtId="0" fontId="6" fillId="0" borderId="0" xfId="11" applyFont="1" applyAlignment="1" applyProtection="1">
      <alignment horizontal="center"/>
    </xf>
    <xf numFmtId="0" fontId="6" fillId="0" borderId="37" xfId="1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0" fillId="0" borderId="0" xfId="0" applyAlignment="1"/>
    <xf numFmtId="14" fontId="19" fillId="0" borderId="0" xfId="0" applyNumberFormat="1" applyFont="1" applyAlignment="1" applyProtection="1">
      <alignment horizontal="center"/>
    </xf>
    <xf numFmtId="0" fontId="48" fillId="0" borderId="0" xfId="11" applyFont="1" applyAlignment="1" applyProtection="1">
      <alignment horizontal="right"/>
    </xf>
    <xf numFmtId="0" fontId="48" fillId="0" borderId="0" xfId="1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37" xfId="0" applyFont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/>
    <xf numFmtId="0" fontId="39" fillId="0" borderId="0" xfId="0" applyFont="1" applyBorder="1" applyAlignment="1" applyProtection="1"/>
    <xf numFmtId="0" fontId="0" fillId="0" borderId="43" xfId="0" applyBorder="1" applyAlignment="1" applyProtection="1"/>
    <xf numFmtId="0" fontId="10" fillId="7" borderId="0" xfId="0" applyFont="1" applyFill="1" applyAlignment="1" applyProtection="1">
      <protection locked="0"/>
    </xf>
    <xf numFmtId="18" fontId="7" fillId="0" borderId="14" xfId="0" applyNumberFormat="1" applyFont="1" applyBorder="1" applyAlignment="1" applyProtection="1">
      <alignment horizontal="right"/>
    </xf>
    <xf numFmtId="18" fontId="7" fillId="0" borderId="15" xfId="0" applyNumberFormat="1" applyFont="1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49" xfId="0" applyBorder="1" applyAlignment="1" applyProtection="1">
      <alignment horizontal="right"/>
    </xf>
    <xf numFmtId="0" fontId="7" fillId="0" borderId="50" xfId="0" applyFont="1" applyBorder="1" applyAlignment="1" applyProtection="1">
      <alignment horizontal="right"/>
    </xf>
    <xf numFmtId="0" fontId="7" fillId="0" borderId="46" xfId="0" applyFont="1" applyBorder="1" applyAlignment="1" applyProtection="1">
      <alignment horizontal="right"/>
    </xf>
    <xf numFmtId="0" fontId="0" fillId="0" borderId="46" xfId="0" applyBorder="1" applyAlignment="1" applyProtection="1"/>
    <xf numFmtId="0" fontId="0" fillId="0" borderId="51" xfId="0" applyBorder="1" applyAlignment="1" applyProtection="1"/>
    <xf numFmtId="169" fontId="7" fillId="0" borderId="0" xfId="0" applyNumberFormat="1" applyFont="1" applyAlignment="1" applyProtection="1">
      <alignment horizontal="right"/>
    </xf>
    <xf numFmtId="14" fontId="31" fillId="8" borderId="0" xfId="0" applyNumberFormat="1" applyFont="1" applyFill="1" applyAlignment="1" applyProtection="1">
      <alignment horizontal="left"/>
      <protection locked="0"/>
    </xf>
    <xf numFmtId="14" fontId="0" fillId="0" borderId="0" xfId="0" applyNumberFormat="1" applyAlignment="1" applyProtection="1">
      <protection locked="0"/>
    </xf>
    <xf numFmtId="0" fontId="49" fillId="7" borderId="0" xfId="0" applyFont="1" applyFill="1" applyAlignment="1" applyProtection="1">
      <protection locked="0"/>
    </xf>
    <xf numFmtId="0" fontId="52" fillId="7" borderId="0" xfId="0" applyFont="1" applyFill="1" applyAlignment="1" applyProtection="1">
      <protection locked="0"/>
    </xf>
    <xf numFmtId="0" fontId="7" fillId="0" borderId="14" xfId="0" applyFont="1" applyBorder="1" applyAlignment="1" applyProtection="1">
      <alignment horizontal="right"/>
    </xf>
    <xf numFmtId="0" fontId="0" fillId="0" borderId="52" xfId="0" applyBorder="1" applyAlignment="1" applyProtection="1"/>
    <xf numFmtId="0" fontId="0" fillId="0" borderId="0" xfId="0" applyAlignment="1" applyProtection="1">
      <alignment horizontal="left"/>
    </xf>
    <xf numFmtId="176" fontId="10" fillId="5" borderId="0" xfId="0" applyNumberFormat="1" applyFont="1" applyFill="1" applyAlignment="1" applyProtection="1">
      <alignment horizontal="left"/>
      <protection locked="0"/>
    </xf>
    <xf numFmtId="49" fontId="10" fillId="0" borderId="50" xfId="0" applyNumberFormat="1" applyFont="1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protection locked="0"/>
    </xf>
    <xf numFmtId="0" fontId="10" fillId="8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8" borderId="0" xfId="0" applyNumberFormat="1" applyFont="1" applyFill="1" applyAlignment="1" applyProtection="1">
      <protection locked="0"/>
    </xf>
    <xf numFmtId="22" fontId="7" fillId="0" borderId="0" xfId="0" applyNumberFormat="1" applyFont="1" applyAlignment="1" applyProtection="1">
      <alignment horizontal="left"/>
    </xf>
    <xf numFmtId="1" fontId="10" fillId="8" borderId="0" xfId="0" quotePrefix="1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horizontal="right"/>
    </xf>
    <xf numFmtId="0" fontId="21" fillId="8" borderId="0" xfId="0" applyFont="1" applyFill="1" applyAlignment="1" applyProtection="1">
      <alignment horizontal="center"/>
      <protection locked="0"/>
    </xf>
    <xf numFmtId="0" fontId="0" fillId="8" borderId="0" xfId="0" applyFill="1" applyAlignment="1" applyProtection="1"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7" fillId="8" borderId="0" xfId="0" applyFont="1" applyFill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center"/>
    </xf>
    <xf numFmtId="0" fontId="38" fillId="0" borderId="0" xfId="0" applyFont="1" applyAlignment="1" applyProtection="1"/>
    <xf numFmtId="0" fontId="10" fillId="0" borderId="38" xfId="0" applyNumberFormat="1" applyFont="1" applyFill="1" applyBorder="1" applyAlignment="1" applyProtection="1">
      <alignment horizontal="center"/>
    </xf>
    <xf numFmtId="0" fontId="10" fillId="0" borderId="39" xfId="0" applyNumberFormat="1" applyFont="1" applyBorder="1" applyAlignment="1" applyProtection="1"/>
    <xf numFmtId="18" fontId="7" fillId="0" borderId="40" xfId="0" applyNumberFormat="1" applyFont="1" applyBorder="1" applyAlignment="1" applyProtection="1">
      <alignment horizontal="center"/>
    </xf>
    <xf numFmtId="18" fontId="7" fillId="0" borderId="41" xfId="0" applyNumberFormat="1" applyFont="1" applyBorder="1" applyAlignment="1" applyProtection="1">
      <alignment horizontal="center"/>
    </xf>
    <xf numFmtId="0" fontId="0" fillId="0" borderId="41" xfId="0" applyBorder="1" applyAlignment="1" applyProtection="1"/>
    <xf numFmtId="0" fontId="0" fillId="0" borderId="42" xfId="0" applyBorder="1" applyAlignment="1" applyProtection="1"/>
    <xf numFmtId="0" fontId="39" fillId="0" borderId="0" xfId="0" applyFont="1" applyBorder="1" applyAlignment="1" applyProtection="1">
      <alignment horizontal="left"/>
    </xf>
    <xf numFmtId="0" fontId="39" fillId="0" borderId="43" xfId="0" applyFont="1" applyBorder="1" applyAlignment="1" applyProtection="1">
      <alignment horizontal="left"/>
    </xf>
    <xf numFmtId="0" fontId="7" fillId="0" borderId="38" xfId="0" applyFont="1" applyBorder="1" applyAlignment="1" applyProtection="1">
      <alignment horizontal="right"/>
    </xf>
    <xf numFmtId="0" fontId="7" fillId="0" borderId="44" xfId="0" applyFont="1" applyBorder="1" applyAlignment="1" applyProtection="1">
      <alignment horizontal="right"/>
    </xf>
    <xf numFmtId="0" fontId="0" fillId="0" borderId="44" xfId="0" applyBorder="1" applyAlignment="1" applyProtection="1">
      <alignment horizontal="right"/>
    </xf>
    <xf numFmtId="0" fontId="0" fillId="0" borderId="45" xfId="0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 applyProtection="1"/>
    <xf numFmtId="0" fontId="24" fillId="0" borderId="0" xfId="0" applyFont="1" applyFill="1" applyAlignment="1" applyProtection="1">
      <alignment horizontal="right"/>
    </xf>
    <xf numFmtId="0" fontId="43" fillId="0" borderId="0" xfId="0" applyFont="1" applyAlignment="1" applyProtection="1">
      <alignment horizontal="left"/>
    </xf>
    <xf numFmtId="0" fontId="20" fillId="0" borderId="46" xfId="0" applyFont="1" applyBorder="1" applyAlignment="1" applyProtection="1"/>
    <xf numFmtId="0" fontId="7" fillId="0" borderId="0" xfId="0" applyFont="1" applyAlignment="1" applyProtection="1"/>
    <xf numFmtId="0" fontId="10" fillId="8" borderId="22" xfId="0" applyFont="1" applyFill="1" applyBorder="1" applyAlignment="1" applyProtection="1">
      <alignment horizontal="center"/>
      <protection locked="0"/>
    </xf>
    <xf numFmtId="0" fontId="10" fillId="8" borderId="43" xfId="0" applyFont="1" applyFill="1" applyBorder="1" applyAlignment="1" applyProtection="1">
      <alignment horizontal="center"/>
      <protection locked="0"/>
    </xf>
    <xf numFmtId="0" fontId="10" fillId="8" borderId="47" xfId="0" applyFont="1" applyFill="1" applyBorder="1" applyAlignment="1" applyProtection="1">
      <alignment horizontal="center"/>
      <protection locked="0"/>
    </xf>
    <xf numFmtId="0" fontId="10" fillId="8" borderId="48" xfId="0" applyFont="1" applyFill="1" applyBorder="1" applyAlignment="1" applyProtection="1">
      <alignment horizontal="center"/>
      <protection locked="0"/>
    </xf>
    <xf numFmtId="179" fontId="10" fillId="8" borderId="0" xfId="0" applyNumberFormat="1" applyFont="1" applyFill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</xf>
    <xf numFmtId="3" fontId="10" fillId="8" borderId="22" xfId="0" applyNumberFormat="1" applyFont="1" applyFill="1" applyBorder="1" applyAlignment="1" applyProtection="1">
      <alignment horizontal="center"/>
      <protection locked="0"/>
    </xf>
    <xf numFmtId="3" fontId="10" fillId="8" borderId="43" xfId="0" applyNumberFormat="1" applyFont="1" applyFill="1" applyBorder="1" applyAlignment="1" applyProtection="1">
      <alignment horizontal="center"/>
      <protection locked="0"/>
    </xf>
    <xf numFmtId="3" fontId="10" fillId="8" borderId="47" xfId="0" applyNumberFormat="1" applyFont="1" applyFill="1" applyBorder="1" applyAlignment="1" applyProtection="1">
      <alignment horizontal="center"/>
      <protection locked="0"/>
    </xf>
    <xf numFmtId="3" fontId="10" fillId="8" borderId="48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right"/>
    </xf>
    <xf numFmtId="0" fontId="53" fillId="0" borderId="0" xfId="0" applyFont="1" applyAlignment="1" applyProtection="1">
      <alignment horizontal="left"/>
    </xf>
    <xf numFmtId="0" fontId="10" fillId="8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0" fillId="8" borderId="20" xfId="0" applyFont="1" applyFill="1" applyBorder="1" applyAlignment="1" applyProtection="1">
      <alignment horizontal="center"/>
      <protection locked="0"/>
    </xf>
    <xf numFmtId="0" fontId="10" fillId="8" borderId="2" xfId="0" applyFont="1" applyFill="1" applyBorder="1" applyAlignment="1" applyProtection="1">
      <alignment horizontal="center"/>
      <protection locked="0"/>
    </xf>
    <xf numFmtId="0" fontId="10" fillId="8" borderId="53" xfId="0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10" fillId="8" borderId="0" xfId="0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/>
    <xf numFmtId="0" fontId="0" fillId="0" borderId="2" xfId="0" applyBorder="1" applyAlignment="1" applyProtection="1">
      <alignment horizontal="center"/>
    </xf>
    <xf numFmtId="3" fontId="10" fillId="0" borderId="55" xfId="0" applyNumberFormat="1" applyFont="1" applyFill="1" applyBorder="1" applyAlignment="1" applyProtection="1">
      <alignment horizontal="center"/>
    </xf>
    <xf numFmtId="3" fontId="10" fillId="0" borderId="56" xfId="0" applyNumberFormat="1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7" fillId="0" borderId="53" xfId="0" applyFont="1" applyBorder="1" applyAlignment="1" applyProtection="1">
      <alignment horizontal="right"/>
    </xf>
    <xf numFmtId="0" fontId="10" fillId="8" borderId="46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178" fontId="10" fillId="8" borderId="0" xfId="0" applyNumberFormat="1" applyFont="1" applyFill="1" applyAlignment="1" applyProtection="1">
      <alignment horizontal="left"/>
      <protection locked="0"/>
    </xf>
    <xf numFmtId="178" fontId="10" fillId="0" borderId="0" xfId="0" applyNumberFormat="1" applyFont="1" applyAlignment="1" applyProtection="1">
      <protection locked="0"/>
    </xf>
    <xf numFmtId="0" fontId="51" fillId="0" borderId="0" xfId="0" applyFont="1" applyAlignment="1" applyProtection="1">
      <alignment horizontal="center"/>
    </xf>
    <xf numFmtId="175" fontId="10" fillId="8" borderId="0" xfId="0" applyNumberFormat="1" applyFont="1" applyFill="1" applyAlignment="1" applyProtection="1">
      <protection locked="0"/>
    </xf>
    <xf numFmtId="178" fontId="31" fillId="8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44" fillId="0" borderId="41" xfId="0" applyFont="1" applyBorder="1" applyAlignment="1" applyProtection="1">
      <alignment horizontal="center"/>
    </xf>
    <xf numFmtId="0" fontId="44" fillId="0" borderId="42" xfId="0" applyFont="1" applyBorder="1" applyAlignment="1" applyProtection="1">
      <alignment horizontal="center"/>
    </xf>
    <xf numFmtId="0" fontId="7" fillId="0" borderId="54" xfId="0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7" fillId="0" borderId="53" xfId="0" applyFont="1" applyBorder="1" applyAlignment="1" applyProtection="1">
      <alignment horizontal="center"/>
    </xf>
    <xf numFmtId="0" fontId="7" fillId="0" borderId="48" xfId="0" applyFont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0" fillId="8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right"/>
    </xf>
    <xf numFmtId="3" fontId="10" fillId="8" borderId="20" xfId="0" applyNumberFormat="1" applyFont="1" applyFill="1" applyBorder="1" applyAlignment="1" applyProtection="1">
      <alignment horizontal="center"/>
      <protection locked="0"/>
    </xf>
    <xf numFmtId="3" fontId="10" fillId="8" borderId="53" xfId="0" applyNumberFormat="1" applyFont="1" applyFill="1" applyBorder="1" applyAlignment="1" applyProtection="1">
      <alignment horizontal="center"/>
      <protection locked="0"/>
    </xf>
    <xf numFmtId="0" fontId="35" fillId="0" borderId="22" xfId="0" applyFont="1" applyBorder="1" applyAlignment="1" applyProtection="1"/>
    <xf numFmtId="0" fontId="35" fillId="0" borderId="0" xfId="0" applyFont="1" applyBorder="1" applyAlignment="1" applyProtection="1"/>
    <xf numFmtId="2" fontId="10" fillId="0" borderId="1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center"/>
    </xf>
    <xf numFmtId="0" fontId="0" fillId="0" borderId="43" xfId="0" applyBorder="1" applyAlignment="1"/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4" fillId="0" borderId="16" xfId="0" applyFont="1" applyBorder="1" applyAlignment="1"/>
    <xf numFmtId="0" fontId="24" fillId="0" borderId="1" xfId="0" applyFont="1" applyBorder="1" applyAlignment="1"/>
    <xf numFmtId="0" fontId="5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7" fillId="0" borderId="0" xfId="11" applyFont="1" applyAlignment="1"/>
    <xf numFmtId="2" fontId="10" fillId="0" borderId="48" xfId="0" applyNumberFormat="1" applyFont="1" applyBorder="1" applyAlignment="1">
      <alignment horizontal="center"/>
    </xf>
    <xf numFmtId="0" fontId="53" fillId="0" borderId="0" xfId="11" applyFont="1" applyAlignment="1" applyProtection="1">
      <alignment horizontal="left"/>
    </xf>
    <xf numFmtId="0" fontId="40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35" fillId="0" borderId="2" xfId="0" applyFont="1" applyBorder="1" applyAlignment="1" applyProtection="1"/>
    <xf numFmtId="0" fontId="0" fillId="0" borderId="2" xfId="0" applyBorder="1" applyAlignment="1"/>
    <xf numFmtId="164" fontId="53" fillId="0" borderId="0" xfId="11" applyNumberFormat="1" applyFont="1" applyBorder="1" applyAlignment="1" applyProtection="1">
      <alignment horizontal="left"/>
    </xf>
    <xf numFmtId="0" fontId="53" fillId="0" borderId="0" xfId="0" applyFont="1" applyAlignment="1">
      <alignment horizontal="right"/>
    </xf>
    <xf numFmtId="0" fontId="35" fillId="0" borderId="47" xfId="0" applyFont="1" applyBorder="1" applyAlignment="1" applyProtection="1"/>
    <xf numFmtId="0" fontId="35" fillId="0" borderId="46" xfId="0" applyFont="1" applyBorder="1" applyAlignment="1" applyProtection="1"/>
    <xf numFmtId="0" fontId="21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7" fillId="0" borderId="0" xfId="0" applyFont="1" applyFill="1" applyAlignment="1" applyProtection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5" xfId="0" applyFont="1" applyBorder="1" applyAlignment="1" applyProtection="1">
      <alignment horizontal="center"/>
    </xf>
    <xf numFmtId="0" fontId="7" fillId="0" borderId="56" xfId="0" applyFont="1" applyBorder="1" applyAlignment="1" applyProtection="1">
      <alignment horizontal="center"/>
    </xf>
    <xf numFmtId="0" fontId="7" fillId="0" borderId="0" xfId="0" applyFont="1" applyAlignment="1"/>
    <xf numFmtId="22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" fillId="0" borderId="2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1" fillId="0" borderId="0" xfId="0" applyFont="1" applyBorder="1" applyAlignment="1">
      <alignment horizontal="left"/>
    </xf>
    <xf numFmtId="3" fontId="31" fillId="0" borderId="18" xfId="0" applyNumberFormat="1" applyFont="1" applyBorder="1" applyAlignment="1">
      <alignment horizontal="center"/>
    </xf>
    <xf numFmtId="0" fontId="7" fillId="0" borderId="64" xfId="0" applyFont="1" applyBorder="1" applyAlignment="1"/>
    <xf numFmtId="0" fontId="7" fillId="0" borderId="0" xfId="0" applyFont="1" applyBorder="1" applyAlignment="1"/>
    <xf numFmtId="1" fontId="10" fillId="0" borderId="16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left"/>
    </xf>
    <xf numFmtId="171" fontId="31" fillId="0" borderId="0" xfId="0" applyNumberFormat="1" applyFont="1" applyBorder="1" applyAlignment="1">
      <alignment horizontal="left"/>
    </xf>
    <xf numFmtId="0" fontId="7" fillId="0" borderId="65" xfId="0" applyFont="1" applyBorder="1" applyAlignment="1">
      <alignment horizontal="center"/>
    </xf>
    <xf numFmtId="0" fontId="0" fillId="0" borderId="53" xfId="0" applyBorder="1" applyAlignment="1"/>
    <xf numFmtId="0" fontId="7" fillId="0" borderId="44" xfId="0" applyFont="1" applyBorder="1" applyAlignment="1">
      <alignment horizontal="center"/>
    </xf>
    <xf numFmtId="3" fontId="31" fillId="0" borderId="55" xfId="0" applyNumberFormat="1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60" xfId="0" applyBorder="1" applyAlignment="1"/>
    <xf numFmtId="0" fontId="7" fillId="0" borderId="1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46" xfId="0" applyFont="1" applyBorder="1" applyAlignment="1"/>
    <xf numFmtId="0" fontId="0" fillId="0" borderId="46" xfId="0" applyBorder="1" applyAlignment="1"/>
    <xf numFmtId="0" fontId="0" fillId="0" borderId="48" xfId="0" applyBorder="1" applyAlignment="1"/>
    <xf numFmtId="0" fontId="10" fillId="0" borderId="20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10" fillId="0" borderId="47" xfId="0" applyFont="1" applyBorder="1" applyAlignment="1" applyProtection="1">
      <alignment horizontal="center"/>
    </xf>
    <xf numFmtId="0" fontId="1" fillId="0" borderId="0" xfId="0" applyFont="1" applyAlignment="1"/>
    <xf numFmtId="0" fontId="1" fillId="0" borderId="0" xfId="11" applyFont="1" applyAlignment="1"/>
    <xf numFmtId="3" fontId="31" fillId="0" borderId="19" xfId="0" applyNumberFormat="1" applyFont="1" applyBorder="1" applyAlignment="1">
      <alignment horizontal="center"/>
    </xf>
    <xf numFmtId="3" fontId="31" fillId="0" borderId="22" xfId="0" applyNumberFormat="1" applyFont="1" applyBorder="1" applyAlignment="1">
      <alignment horizontal="center"/>
    </xf>
    <xf numFmtId="3" fontId="31" fillId="0" borderId="4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2" xfId="0" applyFont="1" applyBorder="1" applyAlignment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" fontId="10" fillId="0" borderId="59" xfId="0" applyNumberFormat="1" applyFont="1" applyBorder="1" applyAlignment="1">
      <alignment horizontal="center"/>
    </xf>
    <xf numFmtId="0" fontId="7" fillId="0" borderId="63" xfId="0" applyFont="1" applyBorder="1" applyAlignment="1" applyProtection="1">
      <alignment horizontal="center"/>
    </xf>
    <xf numFmtId="0" fontId="7" fillId="0" borderId="61" xfId="0" applyFont="1" applyBorder="1" applyAlignment="1" applyProtection="1">
      <alignment horizontal="center"/>
    </xf>
    <xf numFmtId="0" fontId="7" fillId="0" borderId="62" xfId="0" applyFont="1" applyBorder="1" applyAlignment="1">
      <alignment horizontal="center"/>
    </xf>
    <xf numFmtId="0" fontId="33" fillId="0" borderId="0" xfId="11" applyFont="1" applyFill="1" applyAlignment="1" applyProtection="1"/>
    <xf numFmtId="0" fontId="31" fillId="0" borderId="0" xfId="0" applyFont="1" applyFill="1" applyAlignment="1"/>
    <xf numFmtId="0" fontId="1" fillId="0" borderId="0" xfId="0" applyFont="1" applyAlignment="1" applyProtection="1">
      <alignment horizontal="left"/>
    </xf>
  </cellXfs>
  <cellStyles count="16">
    <cellStyle name="#,##0.0" xfId="1"/>
    <cellStyle name="0.0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inch" xfId="9"/>
    <cellStyle name="mile" xfId="10"/>
    <cellStyle name="Normal" xfId="0" builtinId="0"/>
    <cellStyle name="normal_A" xfId="11"/>
    <cellStyle name="normal_B" xfId="12"/>
    <cellStyle name="normal_C" xfId="13"/>
    <cellStyle name="Total" xfId="14" builtinId="25" customBuiltin="1"/>
    <cellStyle name="wrapped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Documents%20and%20Settings/rohp/Local%20Settings/Temp/Range%20Optimizer%20Mockup%20v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Documents%20and%20Settings/juih/Local%20Settings/Temp/RIC-QCD-CARB%20PM_Optimizer-Winter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Projects/Issues/CARB%20Gasoline/PM3/Post%20Hearing/Early%20Use%20Optimizer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izer"/>
      <sheetName val="CARBOB Min"/>
      <sheetName val="Input Min"/>
      <sheetName val="A Min"/>
      <sheetName val="B Min"/>
      <sheetName val="C Min"/>
      <sheetName val="CARBOB Max"/>
      <sheetName val="Input Max"/>
      <sheetName val="A Max"/>
      <sheetName val="B Max"/>
      <sheetName val="C Max"/>
      <sheetName val="CARBOB Min Check"/>
      <sheetName val="Input Min Check"/>
      <sheetName val="A Min Check"/>
      <sheetName val="B Min Check"/>
      <sheetName val="C Min Check"/>
      <sheetName val="CARBOB Max Check"/>
      <sheetName val="Input Max Check"/>
      <sheetName val="A Max Check"/>
      <sheetName val="B Max Check"/>
      <sheetName val="C Max Check"/>
    </sheetNames>
    <sheetDataSet>
      <sheetData sheetId="0" refreshError="1">
        <row r="28">
          <cell r="B28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arams"/>
      <sheetName val="Optimizer"/>
      <sheetName val="Phase 3 CARBOB PM for PM Flat"/>
      <sheetName val="A(MIN)"/>
      <sheetName val="B(MIN)"/>
      <sheetName val="C(MIN)"/>
      <sheetName val="D(MIN)"/>
      <sheetName val="A(MAX)"/>
      <sheetName val="B(MAX)"/>
      <sheetName val="C(MAX)"/>
      <sheetName val="D(MAX)"/>
      <sheetName val="PM Flat Batch (Report)"/>
      <sheetName val="PM Flat Batch (Data-Min)"/>
      <sheetName val="PM Flat Batch (Data-Max)"/>
    </sheetNames>
    <sheetDataSet>
      <sheetData sheetId="0"/>
      <sheetData sheetId="1">
        <row r="11">
          <cell r="D11" t="str">
            <v>Winter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2">
          <cell r="B42" t="str">
            <v>PREDICTED PERCENT CHANGE IN EMISSION (CANDIDATE VS REFERENCE)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RBOB Min"/>
      <sheetName val="Input Min"/>
      <sheetName val="A Min"/>
      <sheetName val="B Min"/>
      <sheetName val="C Min"/>
      <sheetName val="CARBOB Max"/>
      <sheetName val="Input Max"/>
      <sheetName val="A Max"/>
      <sheetName val="B Max"/>
      <sheetName val="C Max"/>
    </sheetNames>
    <sheetDataSet>
      <sheetData sheetId="0">
        <row r="7">
          <cell r="B7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  <pageSetUpPr autoPageBreaks="0" fitToPage="1"/>
  </sheetPr>
  <dimension ref="A1:BV97"/>
  <sheetViews>
    <sheetView tabSelected="1" showOutlineSymbols="0" topLeftCell="A26" zoomScale="75" zoomScaleNormal="75" zoomScalePageLayoutView="75" workbookViewId="0">
      <selection activeCell="A26" sqref="A26:J26"/>
    </sheetView>
  </sheetViews>
  <sheetFormatPr defaultColWidth="9.1796875" defaultRowHeight="15" customHeight="1" x14ac:dyDescent="0.35"/>
  <cols>
    <col min="1" max="1" width="25.453125" style="1" customWidth="1"/>
    <col min="2" max="3" width="21" style="1" customWidth="1"/>
    <col min="4" max="4" width="16.453125" style="1" customWidth="1"/>
    <col min="5" max="5" width="33.54296875" style="1" customWidth="1"/>
    <col min="6" max="6" width="17.81640625" style="1" customWidth="1"/>
    <col min="7" max="7" width="15.7265625" style="1" customWidth="1"/>
    <col min="8" max="8" width="13" style="1" customWidth="1"/>
    <col min="9" max="9" width="9.1796875" style="1"/>
    <col min="10" max="10" width="20.81640625" style="1" customWidth="1"/>
    <col min="11" max="16384" width="9.1796875" style="1"/>
  </cols>
  <sheetData>
    <row r="1" spans="1:12" ht="31.5" customHeight="1" x14ac:dyDescent="0.6">
      <c r="A1" s="35" t="s">
        <v>236</v>
      </c>
      <c r="H1" s="2"/>
    </row>
    <row r="2" spans="1:12" ht="15" customHeight="1" x14ac:dyDescent="0.35">
      <c r="A2" s="459"/>
      <c r="B2" s="460"/>
    </row>
    <row r="3" spans="1:12" ht="15" customHeight="1" x14ac:dyDescent="0.35">
      <c r="A3" s="1" t="s">
        <v>174</v>
      </c>
    </row>
    <row r="4" spans="1:12" ht="15" customHeight="1" x14ac:dyDescent="0.35">
      <c r="A4" s="1" t="s">
        <v>175</v>
      </c>
    </row>
    <row r="5" spans="1:12" ht="15" customHeight="1" x14ac:dyDescent="0.35">
      <c r="A5" s="1" t="s">
        <v>176</v>
      </c>
    </row>
    <row r="7" spans="1:12" ht="15" customHeight="1" x14ac:dyDescent="0.35">
      <c r="A7" s="1" t="s">
        <v>224</v>
      </c>
    </row>
    <row r="8" spans="1:12" ht="15" customHeight="1" x14ac:dyDescent="0.35">
      <c r="A8" s="1" t="s">
        <v>177</v>
      </c>
    </row>
    <row r="9" spans="1:12" ht="15" customHeight="1" x14ac:dyDescent="0.35">
      <c r="A9" s="1" t="s">
        <v>223</v>
      </c>
    </row>
    <row r="10" spans="1:12" ht="15" customHeight="1" x14ac:dyDescent="0.35">
      <c r="A10" s="1" t="s">
        <v>178</v>
      </c>
    </row>
    <row r="12" spans="1:12" ht="15" customHeight="1" x14ac:dyDescent="0.35">
      <c r="A12" s="1" t="s">
        <v>179</v>
      </c>
    </row>
    <row r="13" spans="1:12" ht="15" customHeight="1" x14ac:dyDescent="0.35">
      <c r="A13" s="31" t="s">
        <v>235</v>
      </c>
    </row>
    <row r="14" spans="1:12" ht="15" customHeight="1" x14ac:dyDescent="0.35">
      <c r="A14" s="1" t="s">
        <v>180</v>
      </c>
    </row>
    <row r="15" spans="1:12" ht="15" customHeight="1" x14ac:dyDescent="0.35">
      <c r="L15" s="33" t="s">
        <v>171</v>
      </c>
    </row>
    <row r="16" spans="1:12" ht="15" customHeight="1" thickBot="1" x14ac:dyDescent="0.4">
      <c r="A16" s="1" t="s">
        <v>172</v>
      </c>
      <c r="L16" s="33" t="s">
        <v>173</v>
      </c>
    </row>
    <row r="17" spans="1:74" ht="15" customHeight="1" x14ac:dyDescent="0.35">
      <c r="A17" s="1" t="s">
        <v>5</v>
      </c>
      <c r="B17" s="166" t="s">
        <v>21</v>
      </c>
      <c r="C17" s="167"/>
      <c r="D17" s="167"/>
      <c r="E17" s="3"/>
      <c r="L17" s="33" t="s">
        <v>170</v>
      </c>
    </row>
    <row r="18" spans="1:74" ht="15" customHeight="1" x14ac:dyDescent="0.35">
      <c r="A18" s="1" t="s">
        <v>7</v>
      </c>
      <c r="B18" s="168" t="s">
        <v>21</v>
      </c>
      <c r="C18" s="167"/>
      <c r="D18" s="167"/>
      <c r="E18" s="3"/>
    </row>
    <row r="19" spans="1:74" ht="14.25" customHeight="1" x14ac:dyDescent="0.35">
      <c r="A19" s="1" t="s">
        <v>8</v>
      </c>
      <c r="B19" s="168" t="s">
        <v>21</v>
      </c>
      <c r="C19" s="167"/>
      <c r="D19" s="167"/>
      <c r="E19" s="3"/>
    </row>
    <row r="20" spans="1:74" ht="14.25" customHeight="1" x14ac:dyDescent="0.35">
      <c r="A20" s="1" t="s">
        <v>10</v>
      </c>
      <c r="B20" s="168" t="s">
        <v>21</v>
      </c>
      <c r="C20" s="167"/>
      <c r="D20" s="167"/>
      <c r="E20" s="3"/>
    </row>
    <row r="21" spans="1:74" ht="14.25" customHeight="1" x14ac:dyDescent="0.35">
      <c r="A21" s="1" t="s">
        <v>16</v>
      </c>
      <c r="B21" s="168" t="s">
        <v>21</v>
      </c>
      <c r="C21" s="167"/>
      <c r="D21" s="167"/>
      <c r="E21" s="3"/>
    </row>
    <row r="22" spans="1:74" ht="14.25" customHeight="1" thickBot="1" x14ac:dyDescent="0.4">
      <c r="A22" s="1" t="s">
        <v>22</v>
      </c>
      <c r="B22" s="169" t="s">
        <v>21</v>
      </c>
      <c r="C22" s="167"/>
      <c r="D22" s="167"/>
      <c r="E22" s="3"/>
      <c r="L22" s="164" t="s">
        <v>171</v>
      </c>
    </row>
    <row r="23" spans="1:74" ht="14.25" customHeight="1" x14ac:dyDescent="0.35">
      <c r="B23" s="167"/>
      <c r="C23" s="167"/>
      <c r="D23" s="167"/>
      <c r="E23" s="3"/>
      <c r="L23" s="165" t="s">
        <v>173</v>
      </c>
    </row>
    <row r="24" spans="1:74" s="142" customFormat="1" ht="18" customHeight="1" x14ac:dyDescent="0.4">
      <c r="A24" s="141" t="s">
        <v>262</v>
      </c>
      <c r="B24" s="161" t="s">
        <v>263</v>
      </c>
      <c r="C24" s="162" t="s">
        <v>264</v>
      </c>
      <c r="D24" s="163" t="s">
        <v>265</v>
      </c>
      <c r="E24" s="1"/>
      <c r="F24" s="1"/>
      <c r="G24" s="152"/>
      <c r="H24" s="225"/>
      <c r="I24" s="1"/>
      <c r="J24" s="33" t="s">
        <v>170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4.25" customHeight="1" x14ac:dyDescent="0.35">
      <c r="A25" s="263"/>
      <c r="B25" s="263"/>
      <c r="C25" s="263"/>
      <c r="D25" s="263"/>
      <c r="E25" s="263"/>
      <c r="F25" s="263"/>
      <c r="G25" s="263"/>
    </row>
    <row r="26" spans="1:74" ht="20.25" customHeight="1" x14ac:dyDescent="0.4">
      <c r="A26" s="268" t="s">
        <v>324</v>
      </c>
      <c r="B26" s="268"/>
      <c r="C26" s="268"/>
      <c r="D26" s="268"/>
      <c r="E26" s="268"/>
      <c r="F26" s="268"/>
      <c r="G26" s="268"/>
      <c r="H26" s="248"/>
      <c r="I26" s="248"/>
      <c r="J26" s="248"/>
      <c r="K26" s="38"/>
      <c r="L26" s="38"/>
      <c r="M26" s="25"/>
      <c r="N26" s="25"/>
    </row>
    <row r="27" spans="1:74" ht="15" customHeight="1" thickBot="1" x14ac:dyDescent="0.4">
      <c r="A27" s="461" t="s">
        <v>325</v>
      </c>
      <c r="B27" s="461"/>
      <c r="C27" s="461"/>
      <c r="D27" s="461"/>
      <c r="E27" s="461"/>
      <c r="F27" s="461"/>
      <c r="G27" s="461"/>
      <c r="H27" s="226"/>
      <c r="I27" s="226"/>
      <c r="J27" s="226"/>
      <c r="K27" s="226"/>
      <c r="L27" s="226"/>
    </row>
    <row r="28" spans="1:74" ht="15" customHeight="1" thickBot="1" x14ac:dyDescent="0.4">
      <c r="A28" s="243" t="str">
        <f>IF(OR(B43="",B44="",B45="",B46="",B47="",B49="",B50="",B51="",C49=""),"","This gasoline is being certified as:")</f>
        <v/>
      </c>
      <c r="B28" s="243"/>
      <c r="C28" s="243"/>
      <c r="D28" s="244"/>
      <c r="E28" s="228" t="str">
        <f>IF(C42="ERROR, you must","",IF(AND(B43="",B44="",B45="",B46="",B47="",B49="",C49="",B50="",B51=""),"",IF(AND(B43&lt;&gt;"",B44&lt;&gt;"",B45&lt;&gt;"",B46&lt;&gt;"",B47&lt;&gt;"",B49&lt;&gt;"",C49&lt;&gt;"",B50&lt;&gt;"",B51&lt;&gt;"",B43&lt;=7.2),"RVP controlled gasoline.","Non-RVP controlled gasoline.")))</f>
        <v/>
      </c>
      <c r="F28" s="249"/>
      <c r="G28" s="249"/>
      <c r="H28" s="249"/>
      <c r="I28" s="249"/>
      <c r="J28" s="249"/>
      <c r="K28" s="249"/>
      <c r="L28" s="249"/>
    </row>
    <row r="29" spans="1:74" s="142" customFormat="1" ht="15" customHeight="1" x14ac:dyDescent="0.35">
      <c r="A29" s="243" t="str">
        <f>IF(OR(B43="",B44="",B45="",B46="",B47="",B49="",B50="",B51="",C49=""),"","AND                        ")</f>
        <v/>
      </c>
      <c r="B29" s="243"/>
      <c r="C29" s="243"/>
      <c r="D29" s="244"/>
      <c r="E29" s="221"/>
      <c r="F29" s="250"/>
      <c r="G29" s="249"/>
      <c r="H29" s="249"/>
      <c r="I29" s="249"/>
      <c r="J29" s="249"/>
      <c r="K29" s="148"/>
      <c r="L29" s="14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5" customHeight="1" thickBot="1" x14ac:dyDescent="0.4">
      <c r="A30" s="264" t="str">
        <f>IF(A29="","",IF(E28="RVP controlled gasoline.","The evaporative HC emissions model is ON.","The evaporative HC emissions model is OFF."))</f>
        <v/>
      </c>
      <c r="B30" s="264"/>
      <c r="C30" s="264"/>
      <c r="D30" s="265"/>
      <c r="E30" s="223" t="str">
        <f>IF(E28="RVP controlled gasoline.","Y"," ")</f>
        <v xml:space="preserve"> </v>
      </c>
      <c r="F30" s="251"/>
      <c r="G30" s="252"/>
      <c r="H30" s="252"/>
      <c r="I30" s="252"/>
      <c r="J30" s="227"/>
      <c r="K30" s="150"/>
      <c r="L30" s="151"/>
    </row>
    <row r="31" spans="1:74" s="142" customFormat="1" ht="15" customHeight="1" thickBot="1" x14ac:dyDescent="0.4">
      <c r="A31" s="266" t="s">
        <v>242</v>
      </c>
      <c r="B31" s="266"/>
      <c r="C31" s="266"/>
      <c r="D31" s="267"/>
      <c r="E31" s="43"/>
      <c r="F31" s="253"/>
      <c r="G31" s="252"/>
      <c r="H31" s="252"/>
      <c r="I31" s="252"/>
      <c r="J31" s="149"/>
      <c r="K31" s="150"/>
      <c r="L31" s="15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142" customFormat="1" ht="15" customHeight="1" thickBot="1" x14ac:dyDescent="0.4">
      <c r="A32" s="245" t="s">
        <v>266</v>
      </c>
      <c r="B32" s="245"/>
      <c r="C32" s="245"/>
      <c r="D32" s="246"/>
      <c r="E32" s="43"/>
      <c r="F32" s="253"/>
      <c r="G32" s="252"/>
      <c r="H32" s="151"/>
      <c r="I32" s="151"/>
      <c r="J32" s="151"/>
      <c r="K32" s="151"/>
      <c r="L32" s="15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142" customFormat="1" ht="15" customHeight="1" thickBot="1" x14ac:dyDescent="0.4">
      <c r="A33" s="245" t="s">
        <v>267</v>
      </c>
      <c r="B33" s="245"/>
      <c r="C33" s="245"/>
      <c r="D33" s="246"/>
      <c r="E33" s="43"/>
      <c r="F33" s="17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142" customFormat="1" ht="15" customHeight="1" thickBot="1" x14ac:dyDescent="0.4">
      <c r="A34" s="245" t="s">
        <v>268</v>
      </c>
      <c r="B34" s="245"/>
      <c r="C34" s="245"/>
      <c r="D34" s="246"/>
      <c r="E34" s="43"/>
      <c r="F34" s="17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142" customFormat="1" ht="15" customHeight="1" thickBot="1" x14ac:dyDescent="0.4">
      <c r="A35" s="247"/>
      <c r="B35" s="248"/>
      <c r="C35" s="248"/>
      <c r="D35" s="248"/>
      <c r="E35" s="248"/>
      <c r="F35" s="248"/>
      <c r="G35" s="248"/>
      <c r="H35" s="2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142" customFormat="1" ht="15" customHeight="1" thickBot="1" x14ac:dyDescent="0.4">
      <c r="A36" s="108" t="s">
        <v>269</v>
      </c>
      <c r="B36" s="171"/>
      <c r="C36" s="171"/>
      <c r="D36" s="241" t="s">
        <v>270</v>
      </c>
      <c r="E36" s="242"/>
      <c r="F36" s="1"/>
      <c r="G36" s="1"/>
      <c r="H36" s="17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142" customFormat="1" ht="15" customHeight="1" x14ac:dyDescent="0.35">
      <c r="A37" s="258"/>
      <c r="B37" s="258"/>
      <c r="C37" s="259"/>
      <c r="D37" s="145" t="s">
        <v>271</v>
      </c>
      <c r="E37" s="153"/>
      <c r="F37" s="23"/>
      <c r="G37" s="1"/>
      <c r="H37" s="17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142" customFormat="1" ht="15" customHeight="1" x14ac:dyDescent="0.35">
      <c r="A38" s="258"/>
      <c r="B38" s="258"/>
      <c r="C38" s="259"/>
      <c r="D38" s="145" t="s">
        <v>272</v>
      </c>
      <c r="E38" s="154"/>
      <c r="F38" s="23"/>
      <c r="G38" s="1"/>
      <c r="H38" s="17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142" customFormat="1" ht="15" customHeight="1" x14ac:dyDescent="0.35">
      <c r="A39" s="258"/>
      <c r="B39" s="258"/>
      <c r="C39" s="259"/>
      <c r="D39" s="146" t="s">
        <v>273</v>
      </c>
      <c r="E39" s="155"/>
      <c r="F39" s="23"/>
      <c r="G39" s="1"/>
      <c r="H39" s="17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142" customFormat="1" ht="15" customHeight="1" thickBot="1" x14ac:dyDescent="0.4">
      <c r="A40" s="258"/>
      <c r="B40" s="258"/>
      <c r="C40" s="259"/>
      <c r="D40" s="147" t="s">
        <v>274</v>
      </c>
      <c r="E40" s="156"/>
      <c r="F40" s="23"/>
      <c r="G40" s="1"/>
      <c r="H40" s="175"/>
      <c r="I40" s="1"/>
      <c r="J40" s="1"/>
      <c r="K40" s="1"/>
      <c r="L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5" customHeight="1" x14ac:dyDescent="0.35">
      <c r="A41" s="260"/>
      <c r="B41" s="260"/>
      <c r="C41" s="260"/>
      <c r="D41" s="260"/>
      <c r="E41" s="260"/>
      <c r="J41" s="105"/>
    </row>
    <row r="42" spans="1:74" ht="15" customHeight="1" thickBot="1" x14ac:dyDescent="0.4">
      <c r="A42" s="15" t="s">
        <v>0</v>
      </c>
      <c r="B42" s="14" t="s">
        <v>1</v>
      </c>
      <c r="C42" s="229" t="str">
        <f>IF(AND(B43="",B44="",B45="",B46="",B47="",B49="",C49="",B50="",B51=""),"",IF(AND(B43="",AND(B44&lt;&gt;"",B45&lt;&gt;"",B46&lt;="",B47&lt;&gt;"",B49&lt;&gt;"",C49&lt;&gt;"",B50&lt;&gt;"",B51&lt;&gt;"")),"ERROR, you must",""))</f>
        <v/>
      </c>
      <c r="D42" s="14" t="s">
        <v>2</v>
      </c>
      <c r="J42" s="105"/>
    </row>
    <row r="43" spans="1:74" ht="15" customHeight="1" x14ac:dyDescent="0.35">
      <c r="A43" s="1" t="str">
        <f>IF(E28="RVP controlled gasoline.","RVP, psi, MAX",IF(E28="Non-RVP controlled gasoline","RVP,psi,MIN","RVP"))</f>
        <v>RVP</v>
      </c>
      <c r="B43" s="17"/>
      <c r="C43" s="230" t="str">
        <f>IF(AND(B43="",B44="",B45="",B46="",B47="",B49="",C49="",B50="",B51=""),"",IF(AND(B43="",AND(B44&lt;&gt;"",B45&lt;&gt;"",B46&lt;="",B47&lt;&gt;"",B49&lt;&gt;"",C49&lt;&gt;"",B50&lt;&gt;"",B51&lt;&gt;"")),"enter an RVP value.",""))</f>
        <v/>
      </c>
      <c r="D43" s="158" t="s">
        <v>4</v>
      </c>
      <c r="E43" s="45" t="str">
        <f>IF(AND(E28="RVP controlled gasoline.",OR(B43&gt;7.2,B43&lt;6.4)),"EXCEEDS CAP SEE PROCEDURES","")</f>
        <v/>
      </c>
      <c r="I43" s="16"/>
      <c r="J43" s="106"/>
      <c r="K43" s="24"/>
      <c r="L43" s="16"/>
      <c r="M43" s="16"/>
    </row>
    <row r="44" spans="1:74" ht="15" customHeight="1" x14ac:dyDescent="0.35">
      <c r="A44" s="1" t="s">
        <v>5</v>
      </c>
      <c r="B44" s="18"/>
      <c r="C44" s="3"/>
      <c r="D44" s="158" t="s">
        <v>6</v>
      </c>
      <c r="E44" s="23" t="str">
        <f>IF(OR(B44&gt;220,B44&lt;0),"EXCEEDS CAP SEE PROCEDURES"," ")</f>
        <v xml:space="preserve"> </v>
      </c>
      <c r="H44" s="16"/>
      <c r="I44" s="16"/>
      <c r="J44" s="106"/>
      <c r="K44" s="16"/>
      <c r="L44" s="16"/>
      <c r="M44" s="16"/>
    </row>
    <row r="45" spans="1:74" ht="15" customHeight="1" x14ac:dyDescent="0.35">
      <c r="A45" s="1" t="s">
        <v>7</v>
      </c>
      <c r="B45" s="18"/>
      <c r="C45" s="3"/>
      <c r="D45" s="158" t="s">
        <v>6</v>
      </c>
      <c r="E45" s="23" t="str">
        <f>IF(OR(B45&gt;330,B45&lt;0),"EXCEEDS CAP SEE PROCEDURES"," ")</f>
        <v xml:space="preserve"> </v>
      </c>
      <c r="H45" s="16"/>
      <c r="I45" s="16"/>
      <c r="J45" s="106"/>
      <c r="K45" s="16"/>
      <c r="L45" s="16"/>
      <c r="M45" s="16"/>
    </row>
    <row r="46" spans="1:74" ht="15" customHeight="1" x14ac:dyDescent="0.35">
      <c r="A46" s="1" t="s">
        <v>8</v>
      </c>
      <c r="B46" s="19"/>
      <c r="C46" s="3"/>
      <c r="D46" s="158" t="s">
        <v>9</v>
      </c>
      <c r="E46" s="23" t="str">
        <f>IF(OR(B46&gt;35,B46&lt;0),"EXCEEDS CAP SEE PROCEDURES"," ")</f>
        <v xml:space="preserve"> </v>
      </c>
      <c r="H46" s="16"/>
      <c r="I46" s="16"/>
      <c r="J46" s="105"/>
      <c r="K46" s="16"/>
      <c r="L46" s="16"/>
      <c r="M46" s="16"/>
    </row>
    <row r="47" spans="1:74" ht="15" customHeight="1" thickBot="1" x14ac:dyDescent="0.4">
      <c r="A47" s="1" t="s">
        <v>10</v>
      </c>
      <c r="B47" s="20"/>
      <c r="C47" s="3"/>
      <c r="D47" s="158" t="s">
        <v>9</v>
      </c>
      <c r="E47" s="23" t="str">
        <f>IF(OR(B47&gt;10,B47&lt;0),"EXCEEDS CAP SEE PROCEDURES"," ")</f>
        <v xml:space="preserve"> </v>
      </c>
      <c r="H47" s="16"/>
      <c r="I47" s="16"/>
      <c r="J47" s="107"/>
      <c r="K47" s="16"/>
      <c r="L47" s="16"/>
      <c r="M47" s="16"/>
    </row>
    <row r="48" spans="1:74" ht="15" customHeight="1" thickBot="1" x14ac:dyDescent="0.4">
      <c r="B48" s="144" t="s">
        <v>11</v>
      </c>
      <c r="C48" s="13" t="s">
        <v>12</v>
      </c>
      <c r="D48" s="158"/>
      <c r="E48" s="24"/>
      <c r="H48" s="16"/>
      <c r="I48" s="16"/>
      <c r="J48" s="16"/>
      <c r="K48" s="16"/>
      <c r="L48" s="16"/>
      <c r="M48" s="16"/>
    </row>
    <row r="49" spans="1:13" ht="15" customHeight="1" thickBot="1" x14ac:dyDescent="0.4">
      <c r="A49" s="1" t="s">
        <v>13</v>
      </c>
      <c r="B49" s="21"/>
      <c r="C49" s="143"/>
      <c r="D49" s="159" t="s">
        <v>14</v>
      </c>
      <c r="E49" s="39" t="str">
        <f>IF(AND(B49&gt;3.5,B49&lt;=3.7),"Exceeds Cap UNLESS ethanol  content is &lt;=10%",IF(B49&gt;3.5,"EXCEEDS CAP SEE PROCEDURES"," "))</f>
        <v xml:space="preserve"> </v>
      </c>
      <c r="H49" s="40"/>
      <c r="I49" s="40"/>
      <c r="J49" s="40"/>
      <c r="K49" s="40"/>
      <c r="L49" s="40"/>
      <c r="M49" s="24"/>
    </row>
    <row r="50" spans="1:13" ht="15" customHeight="1" x14ac:dyDescent="0.35">
      <c r="A50" s="1" t="s">
        <v>16</v>
      </c>
      <c r="B50" s="26"/>
      <c r="C50" s="3"/>
      <c r="D50" s="158" t="s">
        <v>17</v>
      </c>
      <c r="E50" s="45" t="str">
        <f>IF(B50&gt;20,"Exceeds Cap See Procedures","")</f>
        <v/>
      </c>
      <c r="I50" s="16"/>
      <c r="J50" s="16"/>
      <c r="K50" s="16"/>
      <c r="L50" s="16"/>
      <c r="M50" s="16"/>
    </row>
    <row r="51" spans="1:13" ht="15" customHeight="1" thickBot="1" x14ac:dyDescent="0.4">
      <c r="A51" s="1" t="s">
        <v>18</v>
      </c>
      <c r="B51" s="22"/>
      <c r="C51" s="3"/>
      <c r="D51" s="158" t="s">
        <v>9</v>
      </c>
      <c r="E51" s="23" t="str">
        <f>IF(OR(B51&gt;1.1,B51&lt;0),"EXCEEDS CAP SEE PROCEDURES"," ")</f>
        <v xml:space="preserve"> </v>
      </c>
      <c r="I51" s="16"/>
      <c r="J51" s="16"/>
      <c r="K51" s="16"/>
      <c r="L51" s="16"/>
      <c r="M51" s="16"/>
    </row>
    <row r="53" spans="1:13" ht="15" customHeight="1" x14ac:dyDescent="0.35">
      <c r="A53" s="261" t="str">
        <f>IF(OR(E43="EXCEEDS CAP SEE PROCEDURES",E44="EXCEEDS CAP SEE PROCEDURES",E45="EXCEEDS CAP SEE PROCEDURES",E46="EXCEEDS CAP SEE PROCEDURES",E47="EXCEEDS CAP SEE PROCEDURES",,E49="EXCEEDS CAP SEE PROCEDURES",E50="EXCEEDS CAP SEE PROCEDURES",E51="EXCEEDS CAP SEE PROCEDURES",C42="ERROR, you must"),"A Pass/Fail determination for the candidate fuel will not be made due to input error"," ")</f>
        <v xml:space="preserve"> </v>
      </c>
      <c r="B53" s="262"/>
      <c r="C53" s="262"/>
      <c r="D53" s="262"/>
      <c r="E53" s="262"/>
    </row>
    <row r="54" spans="1:13" ht="15" customHeight="1" thickBot="1" x14ac:dyDescent="0.4"/>
    <row r="55" spans="1:13" ht="15" customHeight="1" thickBot="1" x14ac:dyDescent="0.4">
      <c r="A55" s="44" t="str">
        <f>IF(A53=" ","THE CANDIDATE FUEL"," ")</f>
        <v>THE CANDIDATE FUEL</v>
      </c>
      <c r="B55" s="157" t="str">
        <f>IF(A53=" ",IF(OR(E28="Non-RVP controlled gasoline.",E30=" "),IF(AND(AND(AND(ROUND(E67,2)&lt;0.05,ROUND(E80,2)&lt;0.05),AND(ROUND(E68,2)&lt;0.05,ROUND(E81,2)&lt;0.05)),AND(ROUND(E72,2)&lt;0.05,ROUND(E85,2)&lt;0.05)),"PASSES","FAILS"),IF(AND(AND(AND(ROUND(E67,2)&lt;0.05,ROUND(E80,2)&lt;0.05),AND(ROUND(E71,2)&lt;0.05,ROUND(E84,2)&lt;0.05)),AND(ROUND(E72,2)&lt;0.05,ROUND(E85,2)&lt;0.05)),"PASSES","FAILS"))," ")</f>
        <v>FAILS</v>
      </c>
      <c r="C55" s="254" t="str">
        <f>IF(A53=" "," SINCE THE PERCENT CHANGE IN EMISSIONS"," ")</f>
        <v xml:space="preserve"> SINCE THE PERCENT CHANGE IN EMISSIONS</v>
      </c>
      <c r="D55" s="248"/>
      <c r="E55" s="248"/>
      <c r="F55" s="10"/>
    </row>
    <row r="56" spans="1:13" ht="15" customHeight="1" thickBot="1" x14ac:dyDescent="0.4">
      <c r="A56" s="44" t="str">
        <f>IF(A53=" ","BETWEEN THE CANDIDATE FUEL AND REFERENCE FUEL IS:"," ")</f>
        <v>BETWEEN THE CANDIDATE FUEL AND REFERENCE FUEL IS:</v>
      </c>
      <c r="B56" s="28"/>
      <c r="C56" s="28"/>
      <c r="D56" s="255" t="str">
        <f>IF(AND(A53=" ",$B55="PASSES"),"LESS THAN OR EQUAL TO 0.04%  for  NOx, or EXH THC, or OFP, or PWT.",IF(AND(A53=" ",$B55="FAILS"),"GREATER THAN OR EQUAL TO 0.05%  for  NOx, or EXH THC, or OFP, or PWT."," "))</f>
        <v>GREATER THAN OR EQUAL TO 0.05%  for  NOx, or EXH THC, or OFP, or PWT.</v>
      </c>
      <c r="E56" s="256"/>
      <c r="F56" s="256"/>
      <c r="G56" s="256"/>
      <c r="H56" s="256"/>
      <c r="I56" s="257"/>
    </row>
    <row r="57" spans="1:13" ht="15" customHeight="1" x14ac:dyDescent="0.35">
      <c r="A57" s="27"/>
      <c r="B57" s="28"/>
      <c r="C57" s="28"/>
      <c r="D57" s="28"/>
      <c r="E57" s="27"/>
      <c r="F57" s="28"/>
      <c r="G57" s="25"/>
    </row>
    <row r="59" spans="1:13" ht="15" customHeight="1" x14ac:dyDescent="0.35">
      <c r="A59" s="4" t="s">
        <v>23</v>
      </c>
    </row>
    <row r="61" spans="1:13" ht="15" customHeight="1" x14ac:dyDescent="0.35">
      <c r="A61" s="5" t="s">
        <v>24</v>
      </c>
    </row>
    <row r="62" spans="1:13" ht="15" customHeight="1" x14ac:dyDescent="0.35">
      <c r="A62" s="5"/>
    </row>
    <row r="63" spans="1:13" ht="15" customHeight="1" x14ac:dyDescent="0.35">
      <c r="A63" s="1" t="s">
        <v>25</v>
      </c>
    </row>
    <row r="65" spans="1:7" ht="15" customHeight="1" x14ac:dyDescent="0.35">
      <c r="A65" s="1" t="s">
        <v>26</v>
      </c>
      <c r="E65" s="224" t="s">
        <v>27</v>
      </c>
    </row>
    <row r="66" spans="1:7" ht="15" customHeight="1" x14ac:dyDescent="0.35">
      <c r="A66" s="1" t="s">
        <v>28</v>
      </c>
      <c r="E66" s="1" t="s">
        <v>28</v>
      </c>
      <c r="F66" s="1" t="s">
        <v>28</v>
      </c>
    </row>
    <row r="67" spans="1:7" ht="15" customHeight="1" x14ac:dyDescent="0.35">
      <c r="A67" s="1" t="s">
        <v>29</v>
      </c>
      <c r="E67" s="6">
        <f>(A!D47)</f>
        <v>14.69403491380872</v>
      </c>
      <c r="F67" s="41"/>
      <c r="G67" s="42"/>
    </row>
    <row r="68" spans="1:7" ht="15" customHeight="1" x14ac:dyDescent="0.35">
      <c r="A68" s="1" t="s">
        <v>200</v>
      </c>
      <c r="E68" s="6">
        <f>(A!D48)</f>
        <v>-64.241676197394511</v>
      </c>
      <c r="F68" s="41"/>
      <c r="G68" s="42"/>
    </row>
    <row r="69" spans="1:7" ht="15" customHeight="1" x14ac:dyDescent="0.35">
      <c r="A69" s="1" t="s">
        <v>201</v>
      </c>
      <c r="E69" s="6">
        <f>IF(E28="Non-RVP controlled gasoline.","Not Used",B!G18)</f>
        <v>-41.824351973674005</v>
      </c>
      <c r="F69" s="41"/>
      <c r="G69" s="42"/>
    </row>
    <row r="70" spans="1:7" ht="15" customHeight="1" x14ac:dyDescent="0.35">
      <c r="A70" s="1" t="s">
        <v>30</v>
      </c>
      <c r="E70" s="6">
        <f>IF(E28="Non-RVP controlled gasoline.","Not Used",'C'!V49)</f>
        <v>13.709636174661359</v>
      </c>
      <c r="F70" s="41"/>
      <c r="G70" s="42"/>
    </row>
    <row r="71" spans="1:7" ht="15" customHeight="1" x14ac:dyDescent="0.35">
      <c r="A71" s="1" t="s">
        <v>309</v>
      </c>
      <c r="E71" s="34">
        <f>IF(E28="Non-RVP controlled gasoline.","Not Used",((B!E$15*B!F$15+B!E$16*B!F$16+B!E$17*B!F$17+A!X84*E68+A!X85*E70)/(B!D$15*B!E$15+B!D$16*B!E$16+B!D$17*B!E$17+A!X$84+'C'!U49*A!X85)))</f>
        <v>68.173405088110684</v>
      </c>
      <c r="F71" s="41"/>
      <c r="G71" s="42"/>
    </row>
    <row r="72" spans="1:7" ht="15" customHeight="1" x14ac:dyDescent="0.35">
      <c r="A72" s="1" t="s">
        <v>202</v>
      </c>
      <c r="E72" s="6">
        <f>B!B64</f>
        <v>-77.363324653531635</v>
      </c>
      <c r="F72" s="41"/>
      <c r="G72" s="42"/>
    </row>
    <row r="73" spans="1:7" ht="15" customHeight="1" x14ac:dyDescent="0.35">
      <c r="E73" s="8"/>
      <c r="F73" s="7"/>
    </row>
    <row r="74" spans="1:7" ht="15" customHeight="1" x14ac:dyDescent="0.35">
      <c r="A74" s="5" t="s">
        <v>32</v>
      </c>
      <c r="E74" s="9"/>
    </row>
    <row r="75" spans="1:7" ht="15" customHeight="1" x14ac:dyDescent="0.35">
      <c r="E75" s="9"/>
    </row>
    <row r="76" spans="1:7" ht="15" customHeight="1" x14ac:dyDescent="0.35">
      <c r="A76" s="1" t="s">
        <v>25</v>
      </c>
      <c r="E76" s="9"/>
    </row>
    <row r="77" spans="1:7" ht="15" customHeight="1" x14ac:dyDescent="0.35">
      <c r="E77" s="9"/>
    </row>
    <row r="78" spans="1:7" ht="15" customHeight="1" x14ac:dyDescent="0.35">
      <c r="A78" s="1" t="s">
        <v>26</v>
      </c>
      <c r="E78" s="231" t="s">
        <v>33</v>
      </c>
    </row>
    <row r="79" spans="1:7" ht="15" customHeight="1" x14ac:dyDescent="0.35">
      <c r="A79" s="1" t="s">
        <v>28</v>
      </c>
      <c r="E79" s="9" t="s">
        <v>28</v>
      </c>
      <c r="F79" s="1" t="s">
        <v>28</v>
      </c>
    </row>
    <row r="80" spans="1:7" ht="15" customHeight="1" x14ac:dyDescent="0.35">
      <c r="A80" s="1" t="s">
        <v>29</v>
      </c>
      <c r="B80" s="7"/>
      <c r="C80" s="7"/>
      <c r="D80" s="7"/>
      <c r="E80" s="6">
        <f>A!D58</f>
        <v>14.69403491380872</v>
      </c>
      <c r="G80" s="7"/>
    </row>
    <row r="81" spans="1:10" ht="15" customHeight="1" x14ac:dyDescent="0.35">
      <c r="A81" s="1" t="s">
        <v>200</v>
      </c>
      <c r="E81" s="6">
        <f>A!D59</f>
        <v>-64.241676197394511</v>
      </c>
      <c r="G81" s="7"/>
    </row>
    <row r="82" spans="1:10" ht="15" customHeight="1" x14ac:dyDescent="0.35">
      <c r="A82" s="1" t="s">
        <v>201</v>
      </c>
      <c r="E82" s="41">
        <f>IF(E28="Non-RVP controlled gasoline.","Not Used",B!G18)</f>
        <v>-41.824351973674005</v>
      </c>
      <c r="G82" s="7"/>
    </row>
    <row r="83" spans="1:10" ht="15" customHeight="1" x14ac:dyDescent="0.35">
      <c r="A83" s="1" t="s">
        <v>30</v>
      </c>
      <c r="E83" s="41">
        <f>IF(E28="Non-RVP controlled gasoline.","Not Used",'C'!V96)</f>
        <v>13.709636174661359</v>
      </c>
      <c r="G83" s="7"/>
    </row>
    <row r="84" spans="1:10" ht="15" customHeight="1" x14ac:dyDescent="0.35">
      <c r="A84" s="1" t="s">
        <v>309</v>
      </c>
      <c r="E84" s="41">
        <f>IF(E28="Non-RVP controlled gasoline.","Not Used",(B!E$15*B!F$15+B!E$16*B!F$16+B!E$17*B!F$17+A!X84*E81+A!X85*E83)/(B!D$15*B!E$15+B!D$16*B!E$16+B!D$17*B!E17+A!X$84+'C'!U96*A!X85))</f>
        <v>68.173405088110684</v>
      </c>
      <c r="G84" s="7"/>
    </row>
    <row r="85" spans="1:10" ht="15" customHeight="1" x14ac:dyDescent="0.35">
      <c r="A85" s="1" t="s">
        <v>31</v>
      </c>
      <c r="B85" s="7"/>
      <c r="C85" s="7"/>
      <c r="D85" s="7"/>
      <c r="E85" s="41">
        <f>B!C64</f>
        <v>-77.363324653531635</v>
      </c>
      <c r="F85" s="7" t="s">
        <v>28</v>
      </c>
      <c r="G85" s="7"/>
    </row>
    <row r="86" spans="1:10" ht="15" customHeight="1" x14ac:dyDescent="0.35">
      <c r="E86" s="8"/>
      <c r="H86" s="7"/>
      <c r="I86" s="7"/>
      <c r="J86" s="7"/>
    </row>
    <row r="87" spans="1:10" ht="15" customHeight="1" x14ac:dyDescent="0.35">
      <c r="F87" s="7"/>
      <c r="H87" s="7"/>
      <c r="I87" s="7"/>
    </row>
    <row r="88" spans="1:10" ht="15" customHeight="1" x14ac:dyDescent="0.35">
      <c r="B88" s="12"/>
      <c r="C88" s="12"/>
      <c r="D88" s="12"/>
      <c r="E88" s="12"/>
    </row>
    <row r="97" spans="2:4" ht="15" customHeight="1" x14ac:dyDescent="0.35">
      <c r="B97" s="11"/>
      <c r="C97" s="11"/>
      <c r="D97" s="11"/>
    </row>
  </sheetData>
  <sheetProtection password="F7A1" sheet="1" objects="1" scenarios="1"/>
  <mergeCells count="26">
    <mergeCell ref="A2:B2"/>
    <mergeCell ref="A33:D33"/>
    <mergeCell ref="A32:D32"/>
    <mergeCell ref="A27:G27"/>
    <mergeCell ref="A25:G25"/>
    <mergeCell ref="A29:D29"/>
    <mergeCell ref="A30:D30"/>
    <mergeCell ref="A31:D31"/>
    <mergeCell ref="A26:J26"/>
    <mergeCell ref="C55:E55"/>
    <mergeCell ref="D56:I56"/>
    <mergeCell ref="A37:C37"/>
    <mergeCell ref="A38:C38"/>
    <mergeCell ref="A39:C39"/>
    <mergeCell ref="A40:C40"/>
    <mergeCell ref="A41:E41"/>
    <mergeCell ref="A53:E53"/>
    <mergeCell ref="D36:E36"/>
    <mergeCell ref="A28:D28"/>
    <mergeCell ref="A34:D34"/>
    <mergeCell ref="A35:H35"/>
    <mergeCell ref="F28:L28"/>
    <mergeCell ref="F29:J29"/>
    <mergeCell ref="F30:I30"/>
    <mergeCell ref="F31:I31"/>
    <mergeCell ref="F32:G32"/>
  </mergeCells>
  <phoneticPr fontId="3" type="noConversion"/>
  <dataValidations disablePrompts="1" count="2">
    <dataValidation type="list" allowBlank="1" showInputMessage="1" showErrorMessage="1" sqref="E31 E34">
      <formula1>$L$22:$L$23</formula1>
    </dataValidation>
    <dataValidation type="list" allowBlank="1" showInputMessage="1" showErrorMessage="1" sqref="E32">
      <formula1>$J$24:$J$25</formula1>
    </dataValidation>
  </dataValidations>
  <pageMargins left="0.5" right="0.5" top="1.1666666666666667" bottom="1.1666666666666667" header="0.5" footer="0.5"/>
  <pageSetup scale="4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autoPageBreaks="0"/>
  </sheetPr>
  <dimension ref="A1:AJ259"/>
  <sheetViews>
    <sheetView showOutlineSymbols="0" zoomScale="75" workbookViewId="0">
      <selection sqref="A1:K1"/>
    </sheetView>
  </sheetViews>
  <sheetFormatPr defaultColWidth="10.26953125" defaultRowHeight="15" customHeight="1" x14ac:dyDescent="0.35"/>
  <cols>
    <col min="1" max="1" width="20.7265625" style="31" customWidth="1"/>
    <col min="2" max="3" width="15" style="31" customWidth="1"/>
    <col min="4" max="4" width="15" style="46" customWidth="1"/>
    <col min="5" max="33" width="15" style="31" customWidth="1"/>
    <col min="34" max="204" width="10.26953125" style="31" customWidth="1"/>
    <col min="205" max="206" width="2.453125" style="31" customWidth="1"/>
    <col min="207" max="16384" width="10.26953125" style="31"/>
  </cols>
  <sheetData>
    <row r="1" spans="1:6" ht="15" customHeight="1" x14ac:dyDescent="0.35">
      <c r="A1" s="269" t="s">
        <v>34</v>
      </c>
      <c r="B1" s="262"/>
      <c r="C1" s="262"/>
      <c r="D1" s="262"/>
      <c r="E1" s="262"/>
      <c r="F1" s="262"/>
    </row>
    <row r="2" spans="1:6" ht="15" customHeight="1" x14ac:dyDescent="0.35">
      <c r="A2" s="31" t="s">
        <v>35</v>
      </c>
    </row>
    <row r="5" spans="1:6" ht="15" customHeight="1" x14ac:dyDescent="0.35">
      <c r="A5" s="47" t="s">
        <v>169</v>
      </c>
      <c r="B5" s="48"/>
      <c r="C5" s="48"/>
      <c r="D5" s="48"/>
    </row>
    <row r="6" spans="1:6" ht="15" customHeight="1" x14ac:dyDescent="0.35">
      <c r="A6" s="30"/>
    </row>
    <row r="9" spans="1:6" ht="15" customHeight="1" x14ac:dyDescent="0.35">
      <c r="A9" s="49" t="s">
        <v>0</v>
      </c>
      <c r="B9" s="50" t="s">
        <v>1</v>
      </c>
      <c r="C9" s="50"/>
      <c r="D9" s="51" t="s">
        <v>2</v>
      </c>
    </row>
    <row r="10" spans="1:6" ht="15" customHeight="1" thickBot="1" x14ac:dyDescent="0.4"/>
    <row r="11" spans="1:6" ht="15" customHeight="1" x14ac:dyDescent="0.35">
      <c r="A11" s="31" t="s">
        <v>3</v>
      </c>
      <c r="B11" s="52">
        <f>IF('Phase 3 PM for PM Flat'!E28="Non-RVP controlled gasoline.","7.00",ROUND('Phase 3 PM for PM Flat'!B43,2))</f>
        <v>0</v>
      </c>
      <c r="C11" s="53"/>
      <c r="D11" s="46" t="s">
        <v>4</v>
      </c>
      <c r="F11" s="54"/>
    </row>
    <row r="12" spans="1:6" ht="15" customHeight="1" x14ac:dyDescent="0.35">
      <c r="A12" s="31" t="s">
        <v>5</v>
      </c>
      <c r="B12" s="55">
        <f>ROUND('Phase 3 PM for PM Flat'!B44,0)</f>
        <v>0</v>
      </c>
      <c r="C12" s="53"/>
      <c r="D12" s="46" t="s">
        <v>6</v>
      </c>
      <c r="F12" s="54"/>
    </row>
    <row r="13" spans="1:6" ht="15" customHeight="1" x14ac:dyDescent="0.35">
      <c r="A13" s="31" t="s">
        <v>7</v>
      </c>
      <c r="B13" s="55">
        <f>ROUND('Phase 3 PM for PM Flat'!B45,0)</f>
        <v>0</v>
      </c>
      <c r="C13" s="53"/>
      <c r="D13" s="46" t="s">
        <v>6</v>
      </c>
      <c r="F13" s="54"/>
    </row>
    <row r="14" spans="1:6" ht="15" customHeight="1" x14ac:dyDescent="0.35">
      <c r="A14" s="31" t="s">
        <v>8</v>
      </c>
      <c r="B14" s="56">
        <f>ROUND('Phase 3 PM for PM Flat'!B46,1)</f>
        <v>0</v>
      </c>
      <c r="C14" s="53"/>
      <c r="D14" s="46" t="s">
        <v>9</v>
      </c>
      <c r="F14" s="54"/>
    </row>
    <row r="15" spans="1:6" ht="15" customHeight="1" thickBot="1" x14ac:dyDescent="0.4">
      <c r="A15" s="31" t="s">
        <v>10</v>
      </c>
      <c r="B15" s="57">
        <f>ROUND('Phase 3 PM for PM Flat'!B47,1)</f>
        <v>0</v>
      </c>
      <c r="C15" s="53"/>
      <c r="D15" s="46" t="s">
        <v>9</v>
      </c>
      <c r="F15" s="54"/>
    </row>
    <row r="16" spans="1:6" ht="15" customHeight="1" thickBot="1" x14ac:dyDescent="0.4">
      <c r="B16" s="53" t="s">
        <v>11</v>
      </c>
      <c r="C16" s="53" t="s">
        <v>12</v>
      </c>
    </row>
    <row r="17" spans="1:6" ht="15" customHeight="1" x14ac:dyDescent="0.35">
      <c r="A17" s="31" t="s">
        <v>36</v>
      </c>
      <c r="B17" s="58">
        <f>ROUND('Phase 3 PM for PM Flat'!B49,1)</f>
        <v>0</v>
      </c>
      <c r="C17" s="58">
        <f>ROUND('Phase 3 PM for PM Flat'!C49,1)</f>
        <v>0</v>
      </c>
      <c r="D17" s="46" t="s">
        <v>14</v>
      </c>
      <c r="F17" s="54"/>
    </row>
    <row r="18" spans="1:6" ht="15" customHeight="1" thickBot="1" x14ac:dyDescent="0.4">
      <c r="A18" s="31" t="s">
        <v>15</v>
      </c>
      <c r="B18" s="56">
        <f>ROUND('Phase 3 PM for PM Flat'!B49,1)</f>
        <v>0</v>
      </c>
      <c r="C18" s="56">
        <f>ROUND('Phase 3 PM for PM Flat'!C49,1)</f>
        <v>0</v>
      </c>
      <c r="F18" s="54"/>
    </row>
    <row r="19" spans="1:6" ht="15" customHeight="1" thickBot="1" x14ac:dyDescent="0.4">
      <c r="B19" s="59"/>
      <c r="C19" s="60"/>
      <c r="F19" s="54"/>
    </row>
    <row r="20" spans="1:6" ht="15" customHeight="1" x14ac:dyDescent="0.35">
      <c r="A20" s="31" t="s">
        <v>16</v>
      </c>
      <c r="B20" s="55">
        <f>ROUND('Phase 3 PM for PM Flat'!B50,0)</f>
        <v>0</v>
      </c>
      <c r="C20" s="61"/>
      <c r="D20" s="46" t="s">
        <v>17</v>
      </c>
      <c r="F20" s="54"/>
    </row>
    <row r="21" spans="1:6" ht="15" customHeight="1" thickBot="1" x14ac:dyDescent="0.4">
      <c r="A21" s="31" t="s">
        <v>18</v>
      </c>
      <c r="B21" s="62">
        <f>ROUND('Phase 3 PM for PM Flat'!B51,2)</f>
        <v>0</v>
      </c>
      <c r="C21" s="61"/>
      <c r="D21" s="46" t="s">
        <v>9</v>
      </c>
      <c r="F21" s="54"/>
    </row>
    <row r="23" spans="1:6" ht="15" customHeight="1" x14ac:dyDescent="0.35">
      <c r="A23" s="31" t="s">
        <v>19</v>
      </c>
    </row>
    <row r="24" spans="1:6" ht="15" customHeight="1" x14ac:dyDescent="0.35">
      <c r="A24" s="31" t="s">
        <v>20</v>
      </c>
    </row>
    <row r="27" spans="1:6" ht="15" customHeight="1" thickBot="1" x14ac:dyDescent="0.4">
      <c r="A27" s="31" t="s">
        <v>0</v>
      </c>
    </row>
    <row r="28" spans="1:6" ht="15" customHeight="1" x14ac:dyDescent="0.35">
      <c r="A28" s="31" t="s">
        <v>5</v>
      </c>
      <c r="B28" s="63" t="str">
        <f>'Phase 3 PM for PM Flat'!B17</f>
        <v>F</v>
      </c>
      <c r="D28" s="64" t="str">
        <f t="shared" ref="D28:D33" si="0">IF(AND(B28&lt;&gt;"A",B28&lt;&gt;"F"),"INCORRECT ENTRY  'A' OR 'F' ONLY"," ")</f>
        <v xml:space="preserve"> </v>
      </c>
    </row>
    <row r="29" spans="1:6" ht="15" customHeight="1" x14ac:dyDescent="0.35">
      <c r="A29" s="31" t="s">
        <v>7</v>
      </c>
      <c r="B29" s="65" t="str">
        <f>'Phase 3 PM for PM Flat'!B18</f>
        <v>F</v>
      </c>
      <c r="D29" s="64" t="str">
        <f t="shared" si="0"/>
        <v xml:space="preserve"> </v>
      </c>
    </row>
    <row r="30" spans="1:6" ht="15" customHeight="1" x14ac:dyDescent="0.35">
      <c r="A30" s="31" t="s">
        <v>8</v>
      </c>
      <c r="B30" s="65" t="str">
        <f>'Phase 3 PM for PM Flat'!B19</f>
        <v>F</v>
      </c>
      <c r="D30" s="64" t="str">
        <f t="shared" si="0"/>
        <v xml:space="preserve"> </v>
      </c>
    </row>
    <row r="31" spans="1:6" ht="15" customHeight="1" x14ac:dyDescent="0.35">
      <c r="A31" s="31" t="s">
        <v>10</v>
      </c>
      <c r="B31" s="65" t="str">
        <f>'Phase 3 PM for PM Flat'!B20</f>
        <v>F</v>
      </c>
      <c r="D31" s="64" t="str">
        <f t="shared" si="0"/>
        <v xml:space="preserve"> </v>
      </c>
    </row>
    <row r="32" spans="1:6" ht="15" customHeight="1" x14ac:dyDescent="0.35">
      <c r="A32" s="31" t="s">
        <v>16</v>
      </c>
      <c r="B32" s="65" t="str">
        <f>'Phase 3 PM for PM Flat'!B21</f>
        <v>F</v>
      </c>
      <c r="D32" s="64" t="str">
        <f t="shared" si="0"/>
        <v xml:space="preserve"> </v>
      </c>
    </row>
    <row r="33" spans="1:8" ht="15" customHeight="1" thickBot="1" x14ac:dyDescent="0.4">
      <c r="A33" s="31" t="s">
        <v>22</v>
      </c>
      <c r="B33" s="66" t="str">
        <f>'Phase 3 PM for PM Flat'!B22</f>
        <v>F</v>
      </c>
      <c r="D33" s="64" t="str">
        <f t="shared" si="0"/>
        <v xml:space="preserve"> </v>
      </c>
    </row>
    <row r="35" spans="1:8" ht="15" customHeight="1" x14ac:dyDescent="0.35">
      <c r="A35" s="30"/>
    </row>
    <row r="36" spans="1:8" ht="15" customHeight="1" x14ac:dyDescent="0.35">
      <c r="A36" s="30" t="s">
        <v>37</v>
      </c>
    </row>
    <row r="38" spans="1:8" ht="15" customHeight="1" x14ac:dyDescent="0.35">
      <c r="H38" s="67"/>
    </row>
    <row r="39" spans="1:8" ht="15" customHeight="1" x14ac:dyDescent="0.35">
      <c r="H39" s="67"/>
    </row>
    <row r="41" spans="1:8" ht="15" customHeight="1" x14ac:dyDescent="0.35">
      <c r="B41" s="30" t="s">
        <v>24</v>
      </c>
    </row>
    <row r="42" spans="1:8" ht="15" customHeight="1" x14ac:dyDescent="0.35">
      <c r="B42" s="30"/>
    </row>
    <row r="43" spans="1:8" ht="15" customHeight="1" x14ac:dyDescent="0.35">
      <c r="B43" s="31" t="s">
        <v>38</v>
      </c>
    </row>
    <row r="45" spans="1:8" ht="15" customHeight="1" x14ac:dyDescent="0.35">
      <c r="B45" s="31" t="s">
        <v>26</v>
      </c>
      <c r="D45" s="46" t="s">
        <v>27</v>
      </c>
    </row>
    <row r="46" spans="1:8" ht="15" customHeight="1" x14ac:dyDescent="0.35">
      <c r="B46" s="31" t="s">
        <v>28</v>
      </c>
      <c r="D46" s="46" t="s">
        <v>28</v>
      </c>
      <c r="E46" s="31" t="s">
        <v>28</v>
      </c>
    </row>
    <row r="47" spans="1:8" ht="15" customHeight="1" x14ac:dyDescent="0.35">
      <c r="B47" s="31" t="s">
        <v>29</v>
      </c>
      <c r="D47" s="68">
        <f>(J81)</f>
        <v>14.69403491380872</v>
      </c>
      <c r="F47" s="69"/>
    </row>
    <row r="48" spans="1:8" ht="15" customHeight="1" x14ac:dyDescent="0.35">
      <c r="B48" s="31" t="s">
        <v>39</v>
      </c>
      <c r="D48" s="68">
        <f>(J82)</f>
        <v>-64.241676197394511</v>
      </c>
      <c r="F48" s="69"/>
    </row>
    <row r="49" spans="1:8" ht="15" customHeight="1" x14ac:dyDescent="0.35">
      <c r="B49" s="31" t="s">
        <v>31</v>
      </c>
      <c r="D49" s="68">
        <f>(J87)</f>
        <v>-74.720809376052372</v>
      </c>
      <c r="E49" s="69" t="s">
        <v>28</v>
      </c>
      <c r="F49" s="69"/>
    </row>
    <row r="50" spans="1:8" ht="15" customHeight="1" x14ac:dyDescent="0.35">
      <c r="D50" s="68"/>
      <c r="E50" s="69"/>
      <c r="F50" s="69"/>
    </row>
    <row r="52" spans="1:8" ht="15" customHeight="1" x14ac:dyDescent="0.35">
      <c r="B52" s="30" t="s">
        <v>32</v>
      </c>
    </row>
    <row r="54" spans="1:8" ht="15" customHeight="1" x14ac:dyDescent="0.35">
      <c r="B54" s="31" t="s">
        <v>38</v>
      </c>
    </row>
    <row r="56" spans="1:8" ht="15" customHeight="1" x14ac:dyDescent="0.35">
      <c r="B56" s="31" t="s">
        <v>26</v>
      </c>
      <c r="D56" s="46" t="s">
        <v>33</v>
      </c>
    </row>
    <row r="57" spans="1:8" ht="15" customHeight="1" x14ac:dyDescent="0.35">
      <c r="B57" s="31" t="s">
        <v>28</v>
      </c>
      <c r="D57" s="46" t="s">
        <v>28</v>
      </c>
      <c r="E57" s="31" t="s">
        <v>28</v>
      </c>
    </row>
    <row r="58" spans="1:8" ht="15" customHeight="1" x14ac:dyDescent="0.35">
      <c r="B58" s="31" t="s">
        <v>29</v>
      </c>
      <c r="C58" s="69"/>
      <c r="D58" s="68">
        <f>($O$253)</f>
        <v>14.69403491380872</v>
      </c>
      <c r="F58" s="69"/>
    </row>
    <row r="59" spans="1:8" ht="15" customHeight="1" x14ac:dyDescent="0.35">
      <c r="B59" s="31" t="s">
        <v>39</v>
      </c>
      <c r="C59" s="69"/>
      <c r="D59" s="68">
        <f>($O$254)</f>
        <v>-64.241676197394511</v>
      </c>
      <c r="F59" s="69"/>
    </row>
    <row r="60" spans="1:8" ht="15" customHeight="1" x14ac:dyDescent="0.35">
      <c r="B60" s="31" t="s">
        <v>31</v>
      </c>
      <c r="C60" s="69"/>
      <c r="D60" s="68">
        <f>($O$259)</f>
        <v>-74.720809376052372</v>
      </c>
      <c r="E60" s="69" t="s">
        <v>28</v>
      </c>
      <c r="F60" s="69"/>
    </row>
    <row r="61" spans="1:8" ht="15" customHeight="1" x14ac:dyDescent="0.35">
      <c r="C61" s="69"/>
      <c r="F61" s="69"/>
      <c r="G61" s="69"/>
      <c r="H61" s="69"/>
    </row>
    <row r="63" spans="1:8" ht="15" customHeight="1" x14ac:dyDescent="0.35">
      <c r="A63" s="31" t="s">
        <v>40</v>
      </c>
    </row>
    <row r="64" spans="1:8" ht="15" customHeight="1" x14ac:dyDescent="0.35">
      <c r="B64" s="31" t="s">
        <v>41</v>
      </c>
      <c r="C64" s="31" t="s">
        <v>42</v>
      </c>
      <c r="D64" s="46" t="s">
        <v>43</v>
      </c>
      <c r="E64" s="31" t="s">
        <v>44</v>
      </c>
    </row>
    <row r="65" spans="1:24" ht="15" customHeight="1" x14ac:dyDescent="0.35">
      <c r="A65" s="31" t="s">
        <v>45</v>
      </c>
      <c r="B65" s="70">
        <f>IF(AND(C17&gt;=1.8,B17&lt;=2.2),2,100)</f>
        <v>100</v>
      </c>
      <c r="C65" s="70">
        <f>IF(AND(C17&gt;=1.8,B17&lt;=2.2),2,100)</f>
        <v>100</v>
      </c>
      <c r="D65" s="70">
        <f>IF(AND(C17&gt;=1.8,B17&lt;=2.2),2,100)</f>
        <v>100</v>
      </c>
      <c r="E65" s="70">
        <f>IF(AND(C17&gt;=1.8,B17&lt;=2.2),2,100)</f>
        <v>100</v>
      </c>
    </row>
    <row r="66" spans="1:24" ht="15" customHeight="1" x14ac:dyDescent="0.35">
      <c r="A66" s="31" t="s">
        <v>46</v>
      </c>
      <c r="B66" s="70">
        <f>IF(AND(AND(C17&gt;=1.8,C17&lt;=2.2),B17&gt;2.2),2,100)</f>
        <v>100</v>
      </c>
      <c r="C66" s="70">
        <f>IF(AND(AND(C17&gt;=1.8,C17&lt;=2.2),B17&gt;2.2),1.8,100)</f>
        <v>100</v>
      </c>
      <c r="D66" s="70">
        <f>IF(AND(AND(C17&gt;=1.8,C17&lt;=2.2),B17&gt;2.2),B17,100)</f>
        <v>100</v>
      </c>
      <c r="E66" s="70">
        <f>IF(AND(AND(C17&gt;=1.8,C17&lt;=2.2),B17&gt;2.2),C17,100)</f>
        <v>100</v>
      </c>
    </row>
    <row r="67" spans="1:24" ht="15" customHeight="1" x14ac:dyDescent="0.35">
      <c r="A67" s="31" t="s">
        <v>47</v>
      </c>
      <c r="B67" s="70">
        <f>IF(AND(AND(C17&lt;1.8,B17&gt;=1.8),B17&lt;=2.2),2.2,100)</f>
        <v>100</v>
      </c>
      <c r="C67" s="70">
        <f>IF(AND(AND(C17&lt;1.8,B17&gt;=1.8),B17&lt;=2.2),2,100)</f>
        <v>100</v>
      </c>
      <c r="D67" s="70">
        <f>IF(AND(AND(C17&lt;1.8,B17&gt;=1.8),B17&lt;=2.2),B17,100)</f>
        <v>100</v>
      </c>
      <c r="E67" s="70">
        <f>IF(AND(AND(C17&lt;1.8,B17&gt;=1.8),B17&lt;=2.2),C17,100)</f>
        <v>100</v>
      </c>
    </row>
    <row r="68" spans="1:24" ht="15" customHeight="1" x14ac:dyDescent="0.35">
      <c r="A68" s="31" t="s">
        <v>48</v>
      </c>
      <c r="B68" s="70">
        <f>IF(AND($C$17&lt;1.8,$B$17&gt;2.2),2,100)</f>
        <v>100</v>
      </c>
      <c r="C68" s="70">
        <f>IF(AND($C$17&lt;1.8,$B$17&gt;2.2),2,100)</f>
        <v>100</v>
      </c>
      <c r="D68" s="70">
        <f>IF(AND($C$17&lt;1.8,$B$17&gt;2.2),B17,100)</f>
        <v>100</v>
      </c>
      <c r="E68" s="70">
        <f>IF(AND($C$17&lt;1.8,$B$17&gt;2.2),C17,100)</f>
        <v>100</v>
      </c>
    </row>
    <row r="69" spans="1:24" ht="15" customHeight="1" x14ac:dyDescent="0.35">
      <c r="A69" s="31" t="s">
        <v>49</v>
      </c>
      <c r="B69" s="70">
        <f>IF(AND(C17&lt;1.8,B17&lt;1.8),2,100)</f>
        <v>2</v>
      </c>
      <c r="C69" s="70">
        <f>IF(AND(C17&lt;1.8,B17&lt;1.8),2,100)</f>
        <v>2</v>
      </c>
      <c r="D69" s="70">
        <f>IF(AND(C17&lt;1.8,B17&lt;1.8),B17,100)</f>
        <v>0</v>
      </c>
      <c r="E69" s="70">
        <f>IF(AND(C17&lt;1.8,B17&lt;1.8),C17,100)</f>
        <v>0</v>
      </c>
    </row>
    <row r="70" spans="1:24" ht="15" customHeight="1" x14ac:dyDescent="0.35">
      <c r="A70" s="31" t="s">
        <v>50</v>
      </c>
      <c r="B70" s="70">
        <f>IF(AND($C17&gt;=2.5,$B17&lt;=2.9),2,100)</f>
        <v>100</v>
      </c>
      <c r="C70" s="70">
        <f>IF(AND($C17&gt;=2.5,$B17&lt;=2.9),2,100)</f>
        <v>100</v>
      </c>
      <c r="D70" s="70">
        <f>IF(AND($C17&gt;=2.5,$B17&lt;=2.9),2.7,100)</f>
        <v>100</v>
      </c>
      <c r="E70" s="70">
        <f>IF(AND($C17&gt;=2.5,$B17&lt;=2.9),2.7,100)</f>
        <v>100</v>
      </c>
    </row>
    <row r="71" spans="1:24" ht="15" customHeight="1" x14ac:dyDescent="0.35">
      <c r="A71" s="31" t="s">
        <v>167</v>
      </c>
      <c r="B71" s="70">
        <f>IF(AND(AND($C17&gt;2.2,$C17&lt;2.5),$B17&gt;2.2),2,100)</f>
        <v>100</v>
      </c>
      <c r="C71" s="70">
        <f>IF(AND(AND($C17&gt;2.2,$C17&lt;2.5),$B17&gt;2.2),2,100)</f>
        <v>100</v>
      </c>
      <c r="D71" s="70">
        <f>IF(AND(AND($C17&gt;2.2,$C17&lt;2.5),$B17&gt;2.2),B17,100)</f>
        <v>100</v>
      </c>
      <c r="E71" s="70">
        <f>IF(AND(AND($C17&gt;2.2,$C17&lt;2.5),$B17&gt;2.2),C17,100)</f>
        <v>100</v>
      </c>
    </row>
    <row r="72" spans="1:24" ht="15" customHeight="1" x14ac:dyDescent="0.35">
      <c r="A72" s="31" t="s">
        <v>168</v>
      </c>
      <c r="B72" s="70">
        <f>IF(AND($C17&gt;=2.5,$B17&gt;2.9),2,100)</f>
        <v>100</v>
      </c>
      <c r="C72" s="70">
        <f>IF(AND($C17&gt;=2.5,$B17&gt;2.9),2,100)</f>
        <v>100</v>
      </c>
      <c r="D72" s="70">
        <f>IF(AND($C17&gt;=2.5,$B17&gt;2.9),B17,100)</f>
        <v>100</v>
      </c>
      <c r="E72" s="70">
        <f>IF(AND($C17&gt;=2.5,$B17&gt;2.9),C17,100)</f>
        <v>100</v>
      </c>
    </row>
    <row r="73" spans="1:24" ht="15" customHeight="1" x14ac:dyDescent="0.35">
      <c r="A73" s="71" t="s">
        <v>51</v>
      </c>
      <c r="B73" s="72">
        <f>SUM(B65:B72)-700</f>
        <v>2</v>
      </c>
      <c r="C73" s="72">
        <f>SUM(C65:C72)-700</f>
        <v>2</v>
      </c>
      <c r="D73" s="72">
        <f>SUM(D65:D72)-700</f>
        <v>0</v>
      </c>
      <c r="E73" s="72">
        <f>SUM(E65:E72)-700</f>
        <v>0</v>
      </c>
      <c r="F73" s="73"/>
    </row>
    <row r="74" spans="1:24" ht="15" customHeight="1" x14ac:dyDescent="0.35">
      <c r="A74" s="74"/>
      <c r="B74" s="74"/>
      <c r="C74" s="74"/>
      <c r="D74" s="75"/>
      <c r="E74" s="74"/>
    </row>
    <row r="76" spans="1:24" ht="15" customHeight="1" x14ac:dyDescent="0.35">
      <c r="A76" s="30" t="s">
        <v>52</v>
      </c>
    </row>
    <row r="78" spans="1:24" ht="15" customHeight="1" x14ac:dyDescent="0.35">
      <c r="F78" s="31" t="s">
        <v>222</v>
      </c>
    </row>
    <row r="79" spans="1:24" ht="15" customHeight="1" x14ac:dyDescent="0.35">
      <c r="A79" s="31" t="s">
        <v>0</v>
      </c>
      <c r="B79" s="31" t="s">
        <v>53</v>
      </c>
      <c r="C79" s="31" t="s">
        <v>54</v>
      </c>
      <c r="M79" s="31" t="s">
        <v>55</v>
      </c>
      <c r="R79" s="31" t="s">
        <v>56</v>
      </c>
      <c r="V79" s="31" t="s">
        <v>57</v>
      </c>
    </row>
    <row r="80" spans="1:24" ht="15" customHeight="1" x14ac:dyDescent="0.35">
      <c r="A80" s="31" t="s">
        <v>3</v>
      </c>
      <c r="B80" s="76">
        <v>7</v>
      </c>
      <c r="C80" s="76">
        <v>7</v>
      </c>
      <c r="F80" s="31" t="s">
        <v>26</v>
      </c>
      <c r="G80" s="31" t="s">
        <v>58</v>
      </c>
      <c r="H80" s="31" t="s">
        <v>59</v>
      </c>
      <c r="I80" s="31" t="s">
        <v>60</v>
      </c>
      <c r="J80" s="31" t="s">
        <v>27</v>
      </c>
      <c r="M80" s="31" t="s">
        <v>26</v>
      </c>
      <c r="N80" s="31" t="s">
        <v>58</v>
      </c>
      <c r="O80" s="31" t="s">
        <v>59</v>
      </c>
      <c r="P80" s="31" t="s">
        <v>60</v>
      </c>
      <c r="R80" s="31" t="s">
        <v>26</v>
      </c>
      <c r="T80" s="31" t="s">
        <v>61</v>
      </c>
      <c r="V80" s="31" t="s">
        <v>62</v>
      </c>
      <c r="X80" s="31" t="s">
        <v>182</v>
      </c>
    </row>
    <row r="81" spans="1:25" ht="15" customHeight="1" x14ac:dyDescent="0.35">
      <c r="A81" s="31" t="s">
        <v>5</v>
      </c>
      <c r="B81" s="31">
        <v>213</v>
      </c>
      <c r="C81" s="77">
        <f>VALUE(B12)</f>
        <v>0</v>
      </c>
      <c r="F81" s="31" t="s">
        <v>29</v>
      </c>
      <c r="G81" s="78">
        <f t="shared" ref="G81:J87" si="1">L160</f>
        <v>-9.28561122401711</v>
      </c>
      <c r="H81" s="78">
        <f t="shared" si="1"/>
        <v>83.16468812523496</v>
      </c>
      <c r="I81" s="78">
        <f t="shared" si="1"/>
        <v>-19.107418752960815</v>
      </c>
      <c r="J81" s="78">
        <f t="shared" si="1"/>
        <v>14.69403491380872</v>
      </c>
      <c r="K81" s="79"/>
      <c r="L81" s="79"/>
      <c r="M81" s="31" t="s">
        <v>29</v>
      </c>
      <c r="N81" s="80">
        <v>5.2191698698734003E-2</v>
      </c>
      <c r="O81" s="80">
        <v>0.3254928236414289</v>
      </c>
      <c r="P81" s="80">
        <v>0.62231547765983708</v>
      </c>
      <c r="R81" s="31" t="s">
        <v>18</v>
      </c>
      <c r="T81" s="31">
        <v>0.17</v>
      </c>
      <c r="V81" s="31" t="s">
        <v>63</v>
      </c>
      <c r="X81" s="46">
        <v>1.7393324331779838E-2</v>
      </c>
    </row>
    <row r="82" spans="1:25" ht="15" customHeight="1" x14ac:dyDescent="0.35">
      <c r="A82" s="31" t="s">
        <v>7</v>
      </c>
      <c r="B82" s="31">
        <v>305</v>
      </c>
      <c r="C82" s="77">
        <f>VALUE(B13)</f>
        <v>0</v>
      </c>
      <c r="F82" s="31" t="s">
        <v>39</v>
      </c>
      <c r="G82" s="78">
        <f t="shared" si="1"/>
        <v>31.503978871884229</v>
      </c>
      <c r="H82" s="78">
        <f t="shared" si="1"/>
        <v>-73.398715079843697</v>
      </c>
      <c r="I82" s="78">
        <f t="shared" si="1"/>
        <v>-70.944283157666646</v>
      </c>
      <c r="J82" s="78">
        <f t="shared" si="1"/>
        <v>-64.241676197394511</v>
      </c>
      <c r="K82" s="79"/>
      <c r="L82" s="79"/>
      <c r="M82" s="31" t="s">
        <v>39</v>
      </c>
      <c r="N82" s="80">
        <v>7.4521726234613672E-2</v>
      </c>
      <c r="O82" s="80">
        <v>0.37972712442532996</v>
      </c>
      <c r="P82" s="80">
        <v>0.54575114934005631</v>
      </c>
      <c r="R82" s="31" t="s">
        <v>64</v>
      </c>
      <c r="T82" s="31">
        <v>1</v>
      </c>
      <c r="V82" s="31" t="s">
        <v>65</v>
      </c>
      <c r="X82" s="46">
        <v>1.1304208952190135E-2</v>
      </c>
    </row>
    <row r="83" spans="1:25" ht="15" customHeight="1" x14ac:dyDescent="0.35">
      <c r="A83" s="31" t="s">
        <v>8</v>
      </c>
      <c r="B83" s="70">
        <v>25</v>
      </c>
      <c r="C83" s="70">
        <f>VALUE(B14)</f>
        <v>0</v>
      </c>
      <c r="F83" s="31" t="s">
        <v>18</v>
      </c>
      <c r="G83" s="79">
        <f t="shared" si="1"/>
        <v>-44.143251960658084</v>
      </c>
      <c r="H83" s="79">
        <f t="shared" si="1"/>
        <v>-72.560223216915759</v>
      </c>
      <c r="I83" s="79">
        <f t="shared" si="1"/>
        <v>-74.121164073777791</v>
      </c>
      <c r="J83" s="79">
        <f t="shared" si="1"/>
        <v>-71.294426731224348</v>
      </c>
      <c r="K83" s="79"/>
      <c r="L83" s="79"/>
      <c r="M83" s="31" t="s">
        <v>66</v>
      </c>
      <c r="N83" s="80">
        <v>7.4521726234613672E-2</v>
      </c>
      <c r="O83" s="80">
        <v>0.37972712442532996</v>
      </c>
      <c r="P83" s="80">
        <v>0.54575114934005631</v>
      </c>
      <c r="Q83" s="81"/>
      <c r="R83" s="31" t="s">
        <v>67</v>
      </c>
      <c r="T83" s="31">
        <v>3.5000000000000003E-2</v>
      </c>
      <c r="V83" s="31" t="s">
        <v>68</v>
      </c>
      <c r="X83" s="46">
        <v>3.1011803649984751E-2</v>
      </c>
    </row>
    <row r="84" spans="1:25" ht="15" customHeight="1" x14ac:dyDescent="0.35">
      <c r="A84" s="31" t="s">
        <v>10</v>
      </c>
      <c r="B84" s="70">
        <f>IF(B$31="A",4,6)</f>
        <v>6</v>
      </c>
      <c r="C84" s="70">
        <f>VALUE(B15)</f>
        <v>0</v>
      </c>
      <c r="F84" s="31" t="s">
        <v>64</v>
      </c>
      <c r="G84" s="79">
        <f t="shared" si="1"/>
        <v>-82.326520010986542</v>
      </c>
      <c r="H84" s="79">
        <f t="shared" si="1"/>
        <v>-84.336792596577695</v>
      </c>
      <c r="I84" s="79">
        <f t="shared" si="1"/>
        <v>-82.682401251048915</v>
      </c>
      <c r="J84" s="79">
        <f t="shared" si="1"/>
        <v>-83.284097635016749</v>
      </c>
      <c r="K84" s="79"/>
      <c r="L84" s="79"/>
      <c r="R84" s="31" t="s">
        <v>69</v>
      </c>
      <c r="T84" s="31">
        <v>1.6E-2</v>
      </c>
      <c r="V84" s="31" t="s">
        <v>70</v>
      </c>
      <c r="X84" s="46">
        <v>4.5367829609303537E-2</v>
      </c>
      <c r="Y84" s="46"/>
    </row>
    <row r="85" spans="1:25" ht="15" customHeight="1" x14ac:dyDescent="0.35">
      <c r="A85" s="31" t="s">
        <v>36</v>
      </c>
      <c r="B85" s="70">
        <f>IF(B17-C17&lt;=0.4,2,B73)</f>
        <v>2</v>
      </c>
      <c r="C85" s="70">
        <f>IF(B17-C17&lt;=0.4,AVERAGE(B17:C17),D73)</f>
        <v>0</v>
      </c>
      <c r="F85" s="31" t="s">
        <v>67</v>
      </c>
      <c r="G85" s="79">
        <f t="shared" si="1"/>
        <v>27.152440782833921</v>
      </c>
      <c r="H85" s="79">
        <f t="shared" si="1"/>
        <v>-54.190675308923851</v>
      </c>
      <c r="I85" s="79">
        <f t="shared" si="1"/>
        <v>-49.829960643785952</v>
      </c>
      <c r="J85" s="79">
        <f t="shared" si="1"/>
        <v>-45.748980840020437</v>
      </c>
      <c r="K85" s="79"/>
      <c r="L85" s="79"/>
      <c r="V85" s="31" t="s">
        <v>71</v>
      </c>
      <c r="X85" s="46">
        <v>0.89492283345674162</v>
      </c>
    </row>
    <row r="86" spans="1:25" ht="15" customHeight="1" x14ac:dyDescent="0.35">
      <c r="A86" s="31" t="s">
        <v>16</v>
      </c>
      <c r="B86" s="31">
        <f>IF(B$32="A",15,20)</f>
        <v>20</v>
      </c>
      <c r="C86" s="31">
        <f>VALUE(B20)</f>
        <v>0</v>
      </c>
      <c r="F86" s="31" t="s">
        <v>69</v>
      </c>
      <c r="G86" s="79">
        <f t="shared" si="1"/>
        <v>30.145476100792081</v>
      </c>
      <c r="H86" s="79">
        <f t="shared" si="1"/>
        <v>-74.77402038086916</v>
      </c>
      <c r="I86" s="79">
        <f t="shared" si="1"/>
        <v>-73.111839007986035</v>
      </c>
      <c r="J86" s="79">
        <f t="shared" si="1"/>
        <v>-66.048100992726688</v>
      </c>
      <c r="K86" s="79"/>
      <c r="L86" s="79"/>
      <c r="W86" s="31" t="s">
        <v>181</v>
      </c>
      <c r="X86" s="46">
        <v>1</v>
      </c>
    </row>
    <row r="87" spans="1:25" ht="15" customHeight="1" x14ac:dyDescent="0.35">
      <c r="A87" s="31" t="s">
        <v>22</v>
      </c>
      <c r="B87" s="76">
        <v>0.8</v>
      </c>
      <c r="C87" s="76">
        <f>VALUE(B21)</f>
        <v>0</v>
      </c>
      <c r="F87" s="31" t="s">
        <v>31</v>
      </c>
      <c r="G87" s="82">
        <f t="shared" si="1"/>
        <v>-52.212730343716942</v>
      </c>
      <c r="H87" s="82">
        <f t="shared" si="1"/>
        <v>-77.592740299452259</v>
      </c>
      <c r="I87" s="82">
        <f t="shared" si="1"/>
        <v>-77.370200433204161</v>
      </c>
      <c r="J87" s="82">
        <f t="shared" si="1"/>
        <v>-74.720809376052372</v>
      </c>
      <c r="K87" s="79"/>
      <c r="L87" s="79"/>
      <c r="X87" s="46"/>
    </row>
    <row r="90" spans="1:25" ht="15" customHeight="1" x14ac:dyDescent="0.35">
      <c r="A90" s="31" t="s">
        <v>72</v>
      </c>
    </row>
    <row r="91" spans="1:25" ht="15" customHeight="1" x14ac:dyDescent="0.35">
      <c r="B91" s="31" t="s">
        <v>58</v>
      </c>
      <c r="C91" s="31" t="s">
        <v>58</v>
      </c>
      <c r="E91" s="31" t="s">
        <v>59</v>
      </c>
      <c r="F91" s="31" t="s">
        <v>59</v>
      </c>
      <c r="H91" s="31" t="s">
        <v>60</v>
      </c>
      <c r="I91" s="31" t="s">
        <v>60</v>
      </c>
    </row>
    <row r="92" spans="1:25" ht="15" customHeight="1" x14ac:dyDescent="0.35">
      <c r="A92" s="31" t="s">
        <v>0</v>
      </c>
      <c r="B92" s="31" t="s">
        <v>73</v>
      </c>
      <c r="C92" s="31" t="s">
        <v>74</v>
      </c>
      <c r="E92" s="31" t="s">
        <v>73</v>
      </c>
      <c r="F92" s="31" t="s">
        <v>74</v>
      </c>
      <c r="H92" s="31" t="s">
        <v>73</v>
      </c>
      <c r="I92" s="31" t="s">
        <v>74</v>
      </c>
      <c r="K92" s="31" t="s">
        <v>212</v>
      </c>
      <c r="O92" s="31" t="s">
        <v>213</v>
      </c>
      <c r="S92" s="31" t="s">
        <v>214</v>
      </c>
      <c r="W92" s="31" t="s">
        <v>215</v>
      </c>
    </row>
    <row r="93" spans="1:25" ht="15" customHeight="1" x14ac:dyDescent="0.35">
      <c r="A93" s="31" t="s">
        <v>3</v>
      </c>
      <c r="B93" s="37">
        <v>8.6708920000000003</v>
      </c>
      <c r="C93" s="37">
        <v>0.63506600000000002</v>
      </c>
      <c r="D93" s="37"/>
      <c r="E93" s="37">
        <v>8.3654150000000005</v>
      </c>
      <c r="F93" s="37">
        <v>0.88911399999999996</v>
      </c>
      <c r="G93" s="37"/>
      <c r="H93" s="37">
        <v>8.2217000000000002</v>
      </c>
      <c r="I93" s="37">
        <v>0.90283800000000003</v>
      </c>
      <c r="L93" s="31" t="s">
        <v>227</v>
      </c>
      <c r="M93" s="31" t="s">
        <v>205</v>
      </c>
      <c r="P93" s="31" t="s">
        <v>228</v>
      </c>
      <c r="Q93" s="31" t="s">
        <v>205</v>
      </c>
      <c r="T93" s="31" t="s">
        <v>228</v>
      </c>
      <c r="U93" s="31" t="s">
        <v>205</v>
      </c>
      <c r="X93" s="31" t="s">
        <v>228</v>
      </c>
      <c r="Y93" s="31" t="s">
        <v>205</v>
      </c>
    </row>
    <row r="94" spans="1:25" ht="15" customHeight="1" x14ac:dyDescent="0.35">
      <c r="A94" s="31" t="s">
        <v>5</v>
      </c>
      <c r="B94" s="37">
        <v>212.24518800000001</v>
      </c>
      <c r="C94" s="37">
        <v>15.880385</v>
      </c>
      <c r="D94" s="37"/>
      <c r="E94" s="37">
        <v>205.26105100000001</v>
      </c>
      <c r="F94" s="37">
        <v>17.324472</v>
      </c>
      <c r="G94" s="37"/>
      <c r="H94" s="37">
        <v>206.02087</v>
      </c>
      <c r="I94" s="37">
        <v>16.582090000000001</v>
      </c>
      <c r="K94" s="31" t="s">
        <v>5</v>
      </c>
      <c r="L94" s="77">
        <v>213</v>
      </c>
      <c r="M94" s="31">
        <f>IF(C81&gt;L94,L94,C81)</f>
        <v>0</v>
      </c>
      <c r="O94" s="31" t="s">
        <v>229</v>
      </c>
      <c r="P94" s="77">
        <f>ROUND((225.3-5.6*C85-1.4*C83),0)</f>
        <v>225</v>
      </c>
      <c r="Q94" s="77">
        <f>IF(C81&lt;P94,P94,C81)</f>
        <v>225</v>
      </c>
      <c r="S94" s="31" t="s">
        <v>232</v>
      </c>
      <c r="T94" s="77">
        <f>ROUND(217.8-4.6*C85,0)</f>
        <v>218</v>
      </c>
      <c r="U94" s="31">
        <f>IF(C81&lt;T94,T94,C81)</f>
        <v>218</v>
      </c>
      <c r="W94" s="31" t="s">
        <v>229</v>
      </c>
      <c r="X94" s="77">
        <f>ROUND((218.2-1.1*C83-4.7*C85),0)</f>
        <v>218</v>
      </c>
      <c r="Y94" s="31">
        <f>IF(C81&lt;X94,X94,C81)</f>
        <v>218</v>
      </c>
    </row>
    <row r="95" spans="1:25" ht="15" customHeight="1" x14ac:dyDescent="0.35">
      <c r="A95" s="31" t="s">
        <v>7</v>
      </c>
      <c r="B95" s="37">
        <v>312.12159600000001</v>
      </c>
      <c r="C95" s="37">
        <v>23.264683999999999</v>
      </c>
      <c r="D95" s="37"/>
      <c r="E95" s="37">
        <v>310.931422</v>
      </c>
      <c r="F95" s="37">
        <v>20.847425000000001</v>
      </c>
      <c r="G95" s="37"/>
      <c r="H95" s="37">
        <v>310.5702</v>
      </c>
      <c r="I95" s="37">
        <v>22.967590999999999</v>
      </c>
      <c r="M95" s="83"/>
      <c r="O95" s="31" t="s">
        <v>230</v>
      </c>
      <c r="P95" s="77">
        <f>283</f>
        <v>283</v>
      </c>
      <c r="Q95" s="31">
        <f>IF(C82&lt;P95,P95,C82)</f>
        <v>283</v>
      </c>
      <c r="U95" s="83"/>
      <c r="W95" s="31" t="s">
        <v>230</v>
      </c>
      <c r="X95" s="77">
        <f>ROUND((314.8-8*C85),0)</f>
        <v>315</v>
      </c>
      <c r="Y95" s="83">
        <f>IF(C82&lt;X95,X95,C82)</f>
        <v>315</v>
      </c>
    </row>
    <row r="96" spans="1:25" ht="15" customHeight="1" x14ac:dyDescent="0.35">
      <c r="A96" s="31" t="s">
        <v>8</v>
      </c>
      <c r="B96" s="37">
        <v>30.212969000000001</v>
      </c>
      <c r="C96" s="37">
        <v>8.6820439999999994</v>
      </c>
      <c r="D96" s="37"/>
      <c r="E96" s="37">
        <v>27.317136999999999</v>
      </c>
      <c r="F96" s="37">
        <v>6.880833</v>
      </c>
      <c r="G96" s="37"/>
      <c r="H96" s="37">
        <v>26.875944</v>
      </c>
      <c r="I96" s="37">
        <v>6.6003119999999997</v>
      </c>
      <c r="L96" s="69"/>
      <c r="M96" s="69"/>
      <c r="O96" s="31" t="s">
        <v>231</v>
      </c>
      <c r="P96" s="69">
        <f>ROUND(-45.3466+0.3436*C81+1.8086*C85,1)</f>
        <v>-45.3</v>
      </c>
      <c r="Q96" s="70">
        <f>IF(C83&gt;P96,P96,C83)</f>
        <v>-45.3</v>
      </c>
      <c r="W96" s="31" t="s">
        <v>231</v>
      </c>
      <c r="X96" s="70">
        <f>ROUND(-45.5269+0.3425*C81+1.8518*C85,1)</f>
        <v>-45.5</v>
      </c>
      <c r="Y96" s="69">
        <f>IF(C83&gt;X96,X96,C83)</f>
        <v>-45.5</v>
      </c>
    </row>
    <row r="97" spans="1:36" ht="15" customHeight="1" x14ac:dyDescent="0.35">
      <c r="A97" s="31" t="s">
        <v>10</v>
      </c>
      <c r="B97" s="37">
        <v>7.3596240000000002</v>
      </c>
      <c r="C97" s="37">
        <v>5.3838039999999996</v>
      </c>
      <c r="D97" s="37"/>
      <c r="E97" s="37">
        <v>6.5494500000000002</v>
      </c>
      <c r="F97" s="37">
        <v>4.7153450000000001</v>
      </c>
      <c r="G97" s="37"/>
      <c r="H97" s="37">
        <v>6.2518909999999996</v>
      </c>
      <c r="I97" s="37">
        <v>4.431845</v>
      </c>
      <c r="U97" s="29"/>
      <c r="V97" s="29"/>
    </row>
    <row r="98" spans="1:36" ht="15" customHeight="1" x14ac:dyDescent="0.35">
      <c r="A98" s="31" t="s">
        <v>36</v>
      </c>
      <c r="B98" s="37">
        <v>0.89236300000000002</v>
      </c>
      <c r="C98" s="37">
        <v>1.2354050000000001</v>
      </c>
      <c r="D98" s="37"/>
      <c r="E98" s="37">
        <v>1.536017</v>
      </c>
      <c r="F98" s="37">
        <v>1.2488870000000001</v>
      </c>
      <c r="G98" s="37"/>
      <c r="H98" s="37">
        <v>1.5517719999999999</v>
      </c>
      <c r="I98" s="37">
        <v>1.262823</v>
      </c>
      <c r="S98" s="31" t="s">
        <v>233</v>
      </c>
      <c r="T98" s="31">
        <f>ROUND((-7.148+0.039*C81),1)</f>
        <v>-7.1</v>
      </c>
      <c r="U98" s="31">
        <f>IF(C85&lt;T98,T98,C85)</f>
        <v>0</v>
      </c>
      <c r="V98" s="29"/>
    </row>
    <row r="99" spans="1:36" ht="15" customHeight="1" x14ac:dyDescent="0.35">
      <c r="A99" s="31" t="s">
        <v>16</v>
      </c>
      <c r="B99" s="37">
        <v>139.69108</v>
      </c>
      <c r="C99" s="37">
        <v>126.74145900000001</v>
      </c>
      <c r="D99" s="37"/>
      <c r="E99" s="37">
        <v>154.12082799999999</v>
      </c>
      <c r="F99" s="37">
        <v>136.79044999999999</v>
      </c>
      <c r="G99" s="37"/>
      <c r="H99" s="37">
        <v>144.62890100000001</v>
      </c>
      <c r="I99" s="37">
        <v>140.91223400000001</v>
      </c>
      <c r="U99" s="84"/>
      <c r="V99" s="84"/>
    </row>
    <row r="100" spans="1:36" ht="15" customHeight="1" x14ac:dyDescent="0.35">
      <c r="A100" s="31" t="s">
        <v>22</v>
      </c>
      <c r="B100" s="37">
        <v>1.36412</v>
      </c>
      <c r="C100" s="37">
        <v>0.51305100000000003</v>
      </c>
      <c r="D100" s="37"/>
      <c r="E100" s="37">
        <v>1.014259</v>
      </c>
      <c r="F100" s="37">
        <v>0.53739199999999998</v>
      </c>
      <c r="G100" s="37"/>
      <c r="H100" s="37">
        <v>0.969248</v>
      </c>
      <c r="I100" s="37">
        <v>0.50432500000000002</v>
      </c>
      <c r="U100" s="84"/>
      <c r="V100" s="84"/>
    </row>
    <row r="101" spans="1:36" ht="15" customHeight="1" x14ac:dyDescent="0.35">
      <c r="U101" s="84"/>
      <c r="V101" s="84"/>
    </row>
    <row r="102" spans="1:36" ht="15" customHeight="1" x14ac:dyDescent="0.35">
      <c r="U102" s="84"/>
      <c r="V102" s="84"/>
    </row>
    <row r="103" spans="1:36" ht="15" customHeight="1" x14ac:dyDescent="0.35">
      <c r="N103" s="31" t="s">
        <v>76</v>
      </c>
      <c r="Q103" s="31" t="s">
        <v>204</v>
      </c>
    </row>
    <row r="104" spans="1:36" ht="15" customHeight="1" x14ac:dyDescent="0.35">
      <c r="A104" s="31" t="s">
        <v>77</v>
      </c>
      <c r="N104" s="85" t="s">
        <v>58</v>
      </c>
      <c r="O104" s="85" t="s">
        <v>58</v>
      </c>
      <c r="P104" s="85" t="s">
        <v>58</v>
      </c>
      <c r="Q104" s="85" t="s">
        <v>58</v>
      </c>
      <c r="R104" s="85" t="s">
        <v>58</v>
      </c>
      <c r="S104" s="85" t="s">
        <v>58</v>
      </c>
      <c r="T104" s="85"/>
      <c r="U104" s="85" t="s">
        <v>59</v>
      </c>
      <c r="V104" s="85" t="s">
        <v>59</v>
      </c>
      <c r="W104" s="85" t="s">
        <v>59</v>
      </c>
      <c r="X104" s="85" t="s">
        <v>59</v>
      </c>
      <c r="Y104" s="85" t="s">
        <v>59</v>
      </c>
      <c r="Z104" s="85" t="s">
        <v>59</v>
      </c>
      <c r="AB104" s="85" t="s">
        <v>60</v>
      </c>
      <c r="AC104" s="85" t="s">
        <v>60</v>
      </c>
      <c r="AD104" s="85" t="s">
        <v>60</v>
      </c>
      <c r="AE104" s="85" t="s">
        <v>60</v>
      </c>
      <c r="AF104" s="85" t="s">
        <v>60</v>
      </c>
      <c r="AG104" s="85" t="s">
        <v>60</v>
      </c>
    </row>
    <row r="105" spans="1:36" ht="15" customHeight="1" x14ac:dyDescent="0.35">
      <c r="B105" s="31" t="s">
        <v>53</v>
      </c>
      <c r="C105" s="31" t="s">
        <v>53</v>
      </c>
      <c r="D105" s="46" t="s">
        <v>53</v>
      </c>
      <c r="E105" s="31" t="s">
        <v>54</v>
      </c>
      <c r="F105" s="31" t="s">
        <v>54</v>
      </c>
      <c r="G105" s="31" t="s">
        <v>54</v>
      </c>
      <c r="H105" s="31" t="s">
        <v>54</v>
      </c>
      <c r="I105" s="31" t="s">
        <v>54</v>
      </c>
      <c r="J105" s="31" t="s">
        <v>54</v>
      </c>
      <c r="K105" s="31" t="s">
        <v>54</v>
      </c>
      <c r="M105" s="31" t="s">
        <v>78</v>
      </c>
      <c r="N105" s="85" t="s">
        <v>29</v>
      </c>
      <c r="O105" s="85" t="s">
        <v>39</v>
      </c>
      <c r="P105" s="85" t="s">
        <v>22</v>
      </c>
      <c r="Q105" s="85" t="s">
        <v>64</v>
      </c>
      <c r="R105" s="85" t="s">
        <v>67</v>
      </c>
      <c r="S105" s="85" t="s">
        <v>69</v>
      </c>
      <c r="U105" s="85" t="s">
        <v>29</v>
      </c>
      <c r="V105" s="85" t="s">
        <v>39</v>
      </c>
      <c r="W105" s="85" t="s">
        <v>22</v>
      </c>
      <c r="X105" s="85" t="s">
        <v>64</v>
      </c>
      <c r="Y105" s="85" t="s">
        <v>67</v>
      </c>
      <c r="Z105" s="85" t="s">
        <v>69</v>
      </c>
      <c r="AB105" s="85" t="s">
        <v>29</v>
      </c>
      <c r="AC105" s="85" t="s">
        <v>39</v>
      </c>
      <c r="AD105" s="85" t="s">
        <v>22</v>
      </c>
      <c r="AE105" s="85" t="s">
        <v>64</v>
      </c>
      <c r="AF105" s="85" t="s">
        <v>67</v>
      </c>
      <c r="AG105" s="85" t="s">
        <v>69</v>
      </c>
    </row>
    <row r="106" spans="1:36" ht="15" customHeight="1" x14ac:dyDescent="0.35">
      <c r="A106" s="31" t="s">
        <v>0</v>
      </c>
      <c r="B106" s="31" t="s">
        <v>58</v>
      </c>
      <c r="C106" s="31" t="s">
        <v>59</v>
      </c>
      <c r="D106" s="46" t="s">
        <v>60</v>
      </c>
      <c r="E106" s="31" t="s">
        <v>58</v>
      </c>
      <c r="F106" s="31" t="s">
        <v>208</v>
      </c>
      <c r="G106" s="31" t="s">
        <v>209</v>
      </c>
      <c r="H106" s="31" t="s">
        <v>210</v>
      </c>
      <c r="I106" s="31" t="s">
        <v>211</v>
      </c>
      <c r="J106" s="31" t="s">
        <v>206</v>
      </c>
      <c r="K106" s="31" t="s">
        <v>207</v>
      </c>
      <c r="L106" s="29"/>
      <c r="M106" s="31" t="s">
        <v>80</v>
      </c>
      <c r="N106" s="86">
        <v>-0.1598</v>
      </c>
      <c r="O106" s="87">
        <v>-0.75227005690000004</v>
      </c>
      <c r="P106" s="88">
        <v>2.9567652500000001</v>
      </c>
      <c r="Q106" s="88">
        <v>0.67173886000000005</v>
      </c>
      <c r="R106" s="88">
        <v>2.1683642399999998</v>
      </c>
      <c r="S106" s="88">
        <v>1.1012213900000001</v>
      </c>
      <c r="T106" s="86"/>
      <c r="U106" s="87">
        <v>-0.63469406770000003</v>
      </c>
      <c r="V106" s="87">
        <v>-1.142182048</v>
      </c>
      <c r="W106" s="88">
        <v>2.3824773000000001</v>
      </c>
      <c r="X106" s="88">
        <v>0.43090425999999998</v>
      </c>
      <c r="Y106" s="88">
        <v>1.0588666099999999</v>
      </c>
      <c r="Z106" s="88">
        <v>0.16738341000000001</v>
      </c>
      <c r="AA106" s="87"/>
      <c r="AB106" s="87">
        <v>-1.599255246</v>
      </c>
      <c r="AC106" s="87">
        <v>-2.6711867090000001</v>
      </c>
      <c r="AD106" s="88">
        <v>2.3824773000000001</v>
      </c>
      <c r="AE106" s="88">
        <v>0.43090425999999998</v>
      </c>
      <c r="AF106" s="88">
        <v>1.0588666099999999</v>
      </c>
      <c r="AG106" s="88">
        <v>0.16738341000000001</v>
      </c>
      <c r="AI106" s="29"/>
      <c r="AJ106" s="29"/>
    </row>
    <row r="107" spans="1:36" ht="15" customHeight="1" x14ac:dyDescent="0.35">
      <c r="A107" s="31" t="s">
        <v>3</v>
      </c>
      <c r="B107" s="37">
        <f t="shared" ref="B107:B112" si="2">(B80-B93)/C93</f>
        <v>-2.6310525205254263</v>
      </c>
      <c r="C107" s="37">
        <f t="shared" ref="C107:C112" si="3">(B80-E93)/F93</f>
        <v>-1.5357029582258299</v>
      </c>
      <c r="D107" s="37">
        <f t="shared" ref="D107:D112" si="4">(B80-H93)/I93</f>
        <v>-1.3531774249643902</v>
      </c>
      <c r="E107" s="37">
        <f t="shared" ref="E107:E112" si="5">(C80-B93)/C93</f>
        <v>-2.6310525205254263</v>
      </c>
      <c r="F107" s="37">
        <f>(C80-E93)/F93</f>
        <v>-1.5357029582258299</v>
      </c>
      <c r="G107" s="37">
        <f>(C80-H93)/I93</f>
        <v>-1.3531774249643902</v>
      </c>
      <c r="H107" s="37">
        <f>(C80-E93)/F93</f>
        <v>-1.5357029582258299</v>
      </c>
      <c r="I107" s="37">
        <f>(C80-H93)/I93</f>
        <v>-1.3531774249643902</v>
      </c>
      <c r="J107" s="37">
        <f t="shared" ref="J107:J112" si="6">(C80-E93)/F93</f>
        <v>-1.5357029582258299</v>
      </c>
      <c r="K107" s="37">
        <f t="shared" ref="K107:K112" si="7">(C80-H93)/I93</f>
        <v>-1.3531774249643902</v>
      </c>
      <c r="L107" s="29"/>
      <c r="M107" s="31" t="s">
        <v>3</v>
      </c>
      <c r="N107" s="86">
        <v>-1.6150000000000001E-2</v>
      </c>
      <c r="O107" s="87">
        <v>-4.5414999999999996E-6</v>
      </c>
      <c r="P107" s="88">
        <v>0</v>
      </c>
      <c r="Q107" s="88">
        <v>0</v>
      </c>
      <c r="R107" s="88">
        <v>0</v>
      </c>
      <c r="S107" s="88">
        <v>0</v>
      </c>
      <c r="T107" s="86"/>
      <c r="U107" s="87">
        <v>4.5875469000000004E-3</v>
      </c>
      <c r="V107" s="87">
        <v>1.259007E-2</v>
      </c>
      <c r="W107" s="88">
        <v>3.1141889999999998E-2</v>
      </c>
      <c r="X107" s="88">
        <v>0</v>
      </c>
      <c r="Y107" s="88">
        <v>0</v>
      </c>
      <c r="Z107" s="88">
        <v>0</v>
      </c>
      <c r="AA107" s="87"/>
      <c r="AB107" s="87">
        <v>3.94435E-4</v>
      </c>
      <c r="AC107" s="87">
        <v>9.4771439999999998E-3</v>
      </c>
      <c r="AD107" s="88">
        <v>3.1141889999999998E-2</v>
      </c>
      <c r="AE107" s="88">
        <v>0</v>
      </c>
      <c r="AF107" s="88">
        <v>0</v>
      </c>
      <c r="AG107" s="88">
        <v>0</v>
      </c>
      <c r="AI107" s="29"/>
      <c r="AJ107" s="29"/>
    </row>
    <row r="108" spans="1:36" ht="15" customHeight="1" x14ac:dyDescent="0.35">
      <c r="A108" s="31" t="s">
        <v>5</v>
      </c>
      <c r="B108" s="37">
        <f t="shared" si="2"/>
        <v>4.753108945406468E-2</v>
      </c>
      <c r="C108" s="37">
        <f t="shared" si="3"/>
        <v>0.44670619687572533</v>
      </c>
      <c r="D108" s="37">
        <f t="shared" si="4"/>
        <v>0.42088361599774199</v>
      </c>
      <c r="E108" s="37">
        <f t="shared" si="5"/>
        <v>-13.365241963592194</v>
      </c>
      <c r="F108" s="37">
        <f>(M94-E94)/F94</f>
        <v>-11.848040794547735</v>
      </c>
      <c r="G108" s="37">
        <f>(U94-H94)/I94</f>
        <v>0.72241376087091536</v>
      </c>
      <c r="H108" s="37">
        <f>(Q94-E94)/F94</f>
        <v>1.1393679992094414</v>
      </c>
      <c r="I108" s="37">
        <f>(Y94-H94)/I94</f>
        <v>0.72241376087091536</v>
      </c>
      <c r="J108" s="37">
        <f t="shared" si="6"/>
        <v>-11.848040794547735</v>
      </c>
      <c r="K108" s="37">
        <f t="shared" si="7"/>
        <v>-12.424300555599444</v>
      </c>
      <c r="L108" s="29"/>
      <c r="M108" s="31" t="s">
        <v>5</v>
      </c>
      <c r="N108" s="86">
        <v>-7.3600000000000002E-3</v>
      </c>
      <c r="O108" s="87">
        <v>1.5847404299999999E-2</v>
      </c>
      <c r="P108" s="88">
        <v>0</v>
      </c>
      <c r="Q108" s="88">
        <v>0.11391774</v>
      </c>
      <c r="R108" s="88">
        <v>0</v>
      </c>
      <c r="S108" s="88">
        <v>0</v>
      </c>
      <c r="T108" s="86"/>
      <c r="U108" s="87">
        <v>-2.4309965000000001E-3</v>
      </c>
      <c r="V108" s="87">
        <v>5.2938751999999999E-2</v>
      </c>
      <c r="W108" s="88">
        <v>4.6662080000000002E-2</v>
      </c>
      <c r="X108" s="88">
        <v>3.7078220000000002E-2</v>
      </c>
      <c r="Y108" s="88">
        <v>0</v>
      </c>
      <c r="Z108" s="88">
        <v>4.314573E-2</v>
      </c>
      <c r="AA108" s="87"/>
      <c r="AB108" s="87">
        <v>1.2397480000000001E-2</v>
      </c>
      <c r="AC108" s="87">
        <v>5.6795923999999998E-2</v>
      </c>
      <c r="AD108" s="88">
        <v>4.6662080000000002E-2</v>
      </c>
      <c r="AE108" s="88">
        <v>3.7078220000000002E-2</v>
      </c>
      <c r="AF108" s="88">
        <v>0</v>
      </c>
      <c r="AG108" s="88">
        <v>4.314573E-2</v>
      </c>
    </row>
    <row r="109" spans="1:36" ht="15" customHeight="1" x14ac:dyDescent="0.35">
      <c r="A109" s="31" t="s">
        <v>7</v>
      </c>
      <c r="B109" s="37">
        <f t="shared" si="2"/>
        <v>-0.30611187325819733</v>
      </c>
      <c r="C109" s="37">
        <f t="shared" si="3"/>
        <v>-0.28451580950644972</v>
      </c>
      <c r="D109" s="37">
        <f t="shared" si="4"/>
        <v>-0.24252434658906979</v>
      </c>
      <c r="E109" s="37">
        <f t="shared" si="5"/>
        <v>-13.416111562056894</v>
      </c>
      <c r="F109" s="37">
        <f>(C82-E95)/F95</f>
        <v>-14.914620007027246</v>
      </c>
      <c r="G109" s="37">
        <f>(C82-H95)/I95</f>
        <v>-13.52210599709826</v>
      </c>
      <c r="H109" s="37">
        <f>(Q95-E95)/F95</f>
        <v>-1.3398020139177858</v>
      </c>
      <c r="I109" s="37">
        <f>(Y95-H95)/I95</f>
        <v>0.19287177309975612</v>
      </c>
      <c r="J109" s="37">
        <f t="shared" si="6"/>
        <v>-14.914620007027246</v>
      </c>
      <c r="K109" s="37">
        <f t="shared" si="7"/>
        <v>-13.52210599709826</v>
      </c>
      <c r="L109" s="29"/>
      <c r="M109" s="31" t="s">
        <v>7</v>
      </c>
      <c r="N109" s="86">
        <v>6.5399999999999996E-4</v>
      </c>
      <c r="O109" s="87">
        <v>1.17684729E-2</v>
      </c>
      <c r="P109" s="88">
        <v>0</v>
      </c>
      <c r="Q109" s="88">
        <v>0</v>
      </c>
      <c r="R109" s="88">
        <v>0</v>
      </c>
      <c r="S109" s="88">
        <v>0</v>
      </c>
      <c r="T109" s="86"/>
      <c r="U109" s="87">
        <v>2.0873752999999999E-3</v>
      </c>
      <c r="V109" s="87">
        <v>3.7683736000000002E-2</v>
      </c>
      <c r="W109" s="88">
        <v>0</v>
      </c>
      <c r="X109" s="88">
        <v>9.4542009999999996E-2</v>
      </c>
      <c r="Y109" s="88">
        <v>6.0376979999999997E-2</v>
      </c>
      <c r="Z109" s="88">
        <v>6.2529639999999997E-2</v>
      </c>
      <c r="AA109" s="87"/>
      <c r="AB109" s="87">
        <v>7.6197299999999999E-4</v>
      </c>
      <c r="AC109" s="87">
        <v>1.0802749E-2</v>
      </c>
      <c r="AD109" s="88">
        <v>0</v>
      </c>
      <c r="AE109" s="88">
        <v>9.4542009999999996E-2</v>
      </c>
      <c r="AF109" s="88">
        <v>6.0376979999999997E-2</v>
      </c>
      <c r="AG109" s="88">
        <v>6.2529639999999997E-2</v>
      </c>
    </row>
    <row r="110" spans="1:36" ht="15" customHeight="1" x14ac:dyDescent="0.35">
      <c r="A110" s="31" t="s">
        <v>8</v>
      </c>
      <c r="B110" s="37">
        <f t="shared" si="2"/>
        <v>-0.60043107360432657</v>
      </c>
      <c r="C110" s="37">
        <f t="shared" si="3"/>
        <v>-0.3367523961125054</v>
      </c>
      <c r="D110" s="37">
        <f t="shared" si="4"/>
        <v>-0.28422050351559147</v>
      </c>
      <c r="E110" s="37">
        <f t="shared" si="5"/>
        <v>-3.4799373281222721</v>
      </c>
      <c r="F110" s="37">
        <f>(C83-E96)/F96</f>
        <v>-3.9700334247321507</v>
      </c>
      <c r="G110" s="37">
        <f>(C83-H96)/I96</f>
        <v>-4.0719202364979115</v>
      </c>
      <c r="H110" s="37">
        <f>(Q96-E96)/F96</f>
        <v>-10.553538648590948</v>
      </c>
      <c r="I110" s="37">
        <f>(Y96-H96)/I96</f>
        <v>-10.965533750525735</v>
      </c>
      <c r="J110" s="37">
        <f t="shared" si="6"/>
        <v>-3.9700334247321507</v>
      </c>
      <c r="K110" s="37">
        <f t="shared" si="7"/>
        <v>-4.0719202364979115</v>
      </c>
      <c r="L110" s="29"/>
      <c r="M110" s="31" t="s">
        <v>8</v>
      </c>
      <c r="N110" s="86">
        <v>4.7059999999999998E-2</v>
      </c>
      <c r="O110" s="87">
        <v>1.41032368E-2</v>
      </c>
      <c r="P110" s="88">
        <v>0.15191574999999999</v>
      </c>
      <c r="Q110" s="88">
        <v>0</v>
      </c>
      <c r="R110" s="88">
        <v>-7.5370989999999999E-2</v>
      </c>
      <c r="S110" s="88">
        <v>-9.2194159999999997E-2</v>
      </c>
      <c r="T110" s="86"/>
      <c r="U110" s="87">
        <v>1.1365783000000001E-2</v>
      </c>
      <c r="V110" s="87">
        <v>2.046848E-3</v>
      </c>
      <c r="W110" s="88">
        <v>0.15517085</v>
      </c>
      <c r="X110" s="88">
        <v>-3.6043440000000003E-2</v>
      </c>
      <c r="Y110" s="88">
        <v>-5.4662830000000003E-2</v>
      </c>
      <c r="Z110" s="88">
        <v>-5.5526409999999998E-2</v>
      </c>
      <c r="AA110" s="87"/>
      <c r="AB110" s="87">
        <v>1.3671068E-2</v>
      </c>
      <c r="AC110" s="87">
        <v>3.0393899999999999E-3</v>
      </c>
      <c r="AD110" s="88">
        <v>0.15517085</v>
      </c>
      <c r="AE110" s="88">
        <v>-3.6043440000000003E-2</v>
      </c>
      <c r="AF110" s="88">
        <v>-5.4662830000000003E-2</v>
      </c>
      <c r="AG110" s="88">
        <v>-5.5526409999999998E-2</v>
      </c>
    </row>
    <row r="111" spans="1:36" ht="15" customHeight="1" x14ac:dyDescent="0.35">
      <c r="A111" s="31" t="s">
        <v>10</v>
      </c>
      <c r="B111" s="37">
        <f t="shared" si="2"/>
        <v>-0.25253965411816631</v>
      </c>
      <c r="C111" s="37">
        <f t="shared" si="3"/>
        <v>-0.1165238174513212</v>
      </c>
      <c r="D111" s="37">
        <f t="shared" si="4"/>
        <v>-5.6836599655448156E-2</v>
      </c>
      <c r="E111" s="37">
        <f t="shared" si="5"/>
        <v>-1.3669933006476462</v>
      </c>
      <c r="F111" s="37">
        <f>(C84-E97)/F97</f>
        <v>-1.3889651764611073</v>
      </c>
      <c r="G111" s="37">
        <f>(C84-H97)/I97</f>
        <v>-1.4106745610462459</v>
      </c>
      <c r="H111" s="37">
        <f>(C84-E97)/F97</f>
        <v>-1.3889651764611073</v>
      </c>
      <c r="I111" s="37">
        <f>(C84-H97)/I97</f>
        <v>-1.4106745610462459</v>
      </c>
      <c r="J111" s="37">
        <f t="shared" si="6"/>
        <v>-1.3889651764611073</v>
      </c>
      <c r="K111" s="37">
        <f t="shared" si="7"/>
        <v>-1.4106745610462459</v>
      </c>
      <c r="L111" s="29"/>
      <c r="M111" s="31" t="s">
        <v>10</v>
      </c>
      <c r="N111" s="86">
        <v>2.111E-2</v>
      </c>
      <c r="O111" s="87">
        <v>-1.6533437200000001E-2</v>
      </c>
      <c r="P111" s="88">
        <v>0</v>
      </c>
      <c r="Q111" s="88">
        <v>0.18408319000000001</v>
      </c>
      <c r="R111" s="88">
        <v>0</v>
      </c>
      <c r="S111" s="88">
        <v>0</v>
      </c>
      <c r="T111" s="86"/>
      <c r="U111" s="87">
        <v>1.7193130099999999E-2</v>
      </c>
      <c r="V111" s="87">
        <v>-1.0716257999999999E-2</v>
      </c>
      <c r="W111" s="88">
        <v>-2.5487590000000001E-2</v>
      </c>
      <c r="X111" s="88">
        <v>0.10354089</v>
      </c>
      <c r="Y111" s="88">
        <v>0</v>
      </c>
      <c r="Z111" s="88">
        <v>0</v>
      </c>
      <c r="AA111" s="87"/>
      <c r="AB111" s="87">
        <v>1.7334787000000001E-2</v>
      </c>
      <c r="AC111" s="87">
        <v>-1.0907501999999999E-2</v>
      </c>
      <c r="AD111" s="88">
        <v>-2.5487590000000001E-2</v>
      </c>
      <c r="AE111" s="88">
        <v>0.10354089</v>
      </c>
      <c r="AF111" s="88">
        <v>0</v>
      </c>
      <c r="AG111" s="88">
        <v>0</v>
      </c>
    </row>
    <row r="112" spans="1:36" ht="15" customHeight="1" x14ac:dyDescent="0.35">
      <c r="A112" s="31" t="s">
        <v>36</v>
      </c>
      <c r="B112" s="37">
        <f t="shared" si="2"/>
        <v>0.89657804525641382</v>
      </c>
      <c r="C112" s="37">
        <f t="shared" si="3"/>
        <v>0.37151719891391294</v>
      </c>
      <c r="D112" s="37">
        <f t="shared" si="4"/>
        <v>0.35494127047100033</v>
      </c>
      <c r="E112" s="37">
        <f t="shared" si="5"/>
        <v>-0.72232425803683808</v>
      </c>
      <c r="F112" s="37">
        <f>(C85-E98)/F98</f>
        <v>-1.2299087107160214</v>
      </c>
      <c r="G112" s="37">
        <f>(U98-H98)/I98</f>
        <v>-1.2288119554363517</v>
      </c>
      <c r="H112" s="37">
        <f>(C85-E98)/F98</f>
        <v>-1.2299087107160214</v>
      </c>
      <c r="I112" s="37">
        <f>(C85-H98)/I98</f>
        <v>-1.2288119554363517</v>
      </c>
      <c r="J112" s="37">
        <f t="shared" si="6"/>
        <v>-1.2299087107160214</v>
      </c>
      <c r="K112" s="37">
        <f t="shared" si="7"/>
        <v>-1.2288119554363517</v>
      </c>
      <c r="L112" s="29"/>
      <c r="M112" s="31" t="s">
        <v>36</v>
      </c>
      <c r="N112" s="86">
        <v>1.491E-2</v>
      </c>
      <c r="O112" s="87">
        <v>-2.6365493899999998E-2</v>
      </c>
      <c r="P112" s="88">
        <v>-3.2959849999999999E-2</v>
      </c>
      <c r="Q112" s="88">
        <v>0</v>
      </c>
      <c r="R112" s="88">
        <v>0.12278577</v>
      </c>
      <c r="S112" s="88">
        <v>1.2298299999999999E-3</v>
      </c>
      <c r="T112" s="86"/>
      <c r="U112" s="87">
        <v>2.8711163200000001E-2</v>
      </c>
      <c r="V112" s="87">
        <v>-1.9880282999999999E-2</v>
      </c>
      <c r="W112" s="88">
        <v>0</v>
      </c>
      <c r="X112" s="88">
        <v>-2.5113739999999999E-2</v>
      </c>
      <c r="Y112" s="88">
        <v>6.3700909999999999E-2</v>
      </c>
      <c r="Z112" s="88">
        <v>2.3821229999999999E-2</v>
      </c>
      <c r="AA112" s="87"/>
      <c r="AB112" s="87">
        <v>1.6035726E-2</v>
      </c>
      <c r="AC112" s="87">
        <v>-7.527583E-3</v>
      </c>
      <c r="AD112" s="88">
        <v>0</v>
      </c>
      <c r="AE112" s="88">
        <v>-2.5113739999999999E-2</v>
      </c>
      <c r="AF112" s="88">
        <v>6.3700909999999999E-2</v>
      </c>
      <c r="AG112" s="88">
        <v>2.3821229999999999E-2</v>
      </c>
    </row>
    <row r="113" spans="1:33" ht="15" customHeight="1" x14ac:dyDescent="0.35">
      <c r="A113" s="31" t="s">
        <v>36</v>
      </c>
      <c r="B113" s="37">
        <f>(B85-B98)/C98</f>
        <v>0.89657804525641382</v>
      </c>
      <c r="C113" s="37">
        <f>(B85-E98)/F98</f>
        <v>0.37151719891391294</v>
      </c>
      <c r="D113" s="37">
        <f>(B85-H98)/I98</f>
        <v>0.35494127047100033</v>
      </c>
      <c r="E113" s="37">
        <f>(C85-B98)/C98</f>
        <v>-0.72232425803683808</v>
      </c>
      <c r="F113" s="37">
        <f>(C85-E98)/F98</f>
        <v>-1.2299087107160214</v>
      </c>
      <c r="G113" s="37">
        <f>(U98-H98)/I98</f>
        <v>-1.2288119554363517</v>
      </c>
      <c r="H113" s="37">
        <f>(C85-E98)/F98</f>
        <v>-1.2299087107160214</v>
      </c>
      <c r="I113" s="37">
        <f>(C85-H98)/I98</f>
        <v>-1.2288119554363517</v>
      </c>
      <c r="J113" s="37">
        <f>(C85-E98)/F98</f>
        <v>-1.2299087107160214</v>
      </c>
      <c r="K113" s="37">
        <f>(C85-H98)/I98</f>
        <v>-1.2288119554363517</v>
      </c>
      <c r="L113" s="29"/>
      <c r="M113" s="31" t="s">
        <v>81</v>
      </c>
      <c r="N113" s="88">
        <v>0</v>
      </c>
      <c r="O113" s="86">
        <v>0</v>
      </c>
      <c r="P113" s="88">
        <v>0</v>
      </c>
      <c r="Q113" s="88">
        <v>0</v>
      </c>
      <c r="R113" s="88">
        <f>IF($B18=0,0,-0.12295089)</f>
        <v>0</v>
      </c>
      <c r="S113" s="88">
        <f>IF($B18=0,0,0.54678495)</f>
        <v>0</v>
      </c>
      <c r="T113" s="86"/>
      <c r="U113" s="86">
        <v>0</v>
      </c>
      <c r="V113" s="86">
        <v>0</v>
      </c>
      <c r="W113" s="88">
        <v>0</v>
      </c>
      <c r="X113" s="88">
        <v>0</v>
      </c>
      <c r="Y113" s="88">
        <f>IF($B18=0,0,-0.09819814)</f>
        <v>0</v>
      </c>
      <c r="Z113" s="88">
        <f>IF($B18=0,0,0.46699012)</f>
        <v>0</v>
      </c>
      <c r="AA113" s="86"/>
      <c r="AB113" s="86">
        <v>0</v>
      </c>
      <c r="AC113" s="86">
        <v>0</v>
      </c>
      <c r="AD113" s="88">
        <v>0</v>
      </c>
      <c r="AE113" s="88">
        <v>0</v>
      </c>
      <c r="AF113" s="88">
        <f>IF($B18=0,0,-0.09819814)</f>
        <v>0</v>
      </c>
      <c r="AG113" s="88">
        <f>IF($B18=0,0,0.46699012)</f>
        <v>0</v>
      </c>
    </row>
    <row r="114" spans="1:33" ht="15" customHeight="1" x14ac:dyDescent="0.35">
      <c r="A114" s="31" t="s">
        <v>16</v>
      </c>
      <c r="B114" s="37">
        <f>(B86-B99)/C99</f>
        <v>-0.94437195961267884</v>
      </c>
      <c r="C114" s="37">
        <f>(B86-E99)/F99</f>
        <v>-0.98048385687743544</v>
      </c>
      <c r="D114" s="37">
        <f>(B86-H99)/I99</f>
        <v>-0.88444344016290311</v>
      </c>
      <c r="E114" s="37">
        <f>(C86-B99)/C99</f>
        <v>-1.102173520031831</v>
      </c>
      <c r="F114" s="37">
        <f>(C86-E99)/F99</f>
        <v>-1.1266928941311327</v>
      </c>
      <c r="G114" s="37">
        <f>(C86-H99)/I99</f>
        <v>-1.0263757581190573</v>
      </c>
      <c r="H114" s="37">
        <f>(C86-E99)/F99</f>
        <v>-1.1266928941311327</v>
      </c>
      <c r="I114" s="37">
        <f>(C86-H99)/I99</f>
        <v>-1.0263757581190573</v>
      </c>
      <c r="J114" s="37">
        <f>(C86-E99)/F99</f>
        <v>-1.1266928941311327</v>
      </c>
      <c r="K114" s="37">
        <f>(C86-H99)/I99</f>
        <v>-1.0263757581190573</v>
      </c>
      <c r="L114" s="29"/>
      <c r="M114" s="31" t="s">
        <v>16</v>
      </c>
      <c r="N114" s="86">
        <v>2.8039999999999999E-2</v>
      </c>
      <c r="O114" s="87">
        <v>3.8207296799999999E-2</v>
      </c>
      <c r="P114" s="88">
        <v>6.8376800000000001E-2</v>
      </c>
      <c r="Q114" s="88">
        <v>0</v>
      </c>
      <c r="R114" s="88">
        <v>0</v>
      </c>
      <c r="S114" s="88">
        <v>0</v>
      </c>
      <c r="T114" s="86"/>
      <c r="U114" s="87">
        <v>5.1043337000000001E-2</v>
      </c>
      <c r="V114" s="87">
        <v>7.9372872999999997E-2</v>
      </c>
      <c r="W114" s="88">
        <v>9.6525260000000002E-2</v>
      </c>
      <c r="X114" s="88">
        <v>0</v>
      </c>
      <c r="Y114" s="88">
        <v>-4.1350749999999999E-2</v>
      </c>
      <c r="Z114" s="88">
        <v>2.7882629999999999E-2</v>
      </c>
      <c r="AA114" s="87"/>
      <c r="AB114" s="87">
        <v>0.94791519899999999</v>
      </c>
      <c r="AC114" s="87">
        <v>0.24223763200000001</v>
      </c>
      <c r="AD114" s="88">
        <v>9.6525260000000002E-2</v>
      </c>
      <c r="AE114" s="88">
        <v>0</v>
      </c>
      <c r="AF114" s="88">
        <v>-4.1350749999999999E-2</v>
      </c>
      <c r="AG114" s="88">
        <v>2.7882629999999999E-2</v>
      </c>
    </row>
    <row r="115" spans="1:33" ht="15" customHeight="1" x14ac:dyDescent="0.35">
      <c r="A115" s="31" t="s">
        <v>22</v>
      </c>
      <c r="B115" s="37">
        <f>(B87-B100)/C100</f>
        <v>-1.0995398118315722</v>
      </c>
      <c r="C115" s="37">
        <f>(B87-E100)/F100</f>
        <v>-0.39870150653526659</v>
      </c>
      <c r="D115" s="37">
        <f>(B87-H100)/I100</f>
        <v>-0.33559311951618487</v>
      </c>
      <c r="E115" s="37">
        <f>(C87-B100)/C100</f>
        <v>-2.6588389848182734</v>
      </c>
      <c r="F115" s="37">
        <f>(C87-E100)/F100</f>
        <v>-1.8873727186113676</v>
      </c>
      <c r="G115" s="37">
        <f>(C87-H100)/I100</f>
        <v>-1.9218718088534179</v>
      </c>
      <c r="H115" s="37">
        <f>(C87-E100)/F100</f>
        <v>-1.8873727186113676</v>
      </c>
      <c r="I115" s="37">
        <f>(C87-H100)/I100</f>
        <v>-1.9218718088534179</v>
      </c>
      <c r="J115" s="37">
        <f>(C87-E100)/F100</f>
        <v>-1.8873727186113676</v>
      </c>
      <c r="K115" s="37">
        <f>(C87-H100)/I100</f>
        <v>-1.9218718088534179</v>
      </c>
      <c r="L115" s="29"/>
      <c r="M115" s="31" t="s">
        <v>22</v>
      </c>
      <c r="N115" s="88">
        <v>0</v>
      </c>
      <c r="O115" s="86">
        <v>0</v>
      </c>
      <c r="P115" s="88">
        <v>0.12025037</v>
      </c>
      <c r="Q115" s="88">
        <v>0</v>
      </c>
      <c r="R115" s="88">
        <v>-0.14234820000000001</v>
      </c>
      <c r="S115" s="88">
        <v>0</v>
      </c>
      <c r="T115" s="86"/>
      <c r="U115" s="86">
        <v>0</v>
      </c>
      <c r="V115" s="86">
        <v>0</v>
      </c>
      <c r="W115" s="88">
        <v>0.11689441</v>
      </c>
      <c r="X115" s="88">
        <v>3.6443870000000003E-2</v>
      </c>
      <c r="Y115" s="88">
        <v>0</v>
      </c>
      <c r="Z115" s="88">
        <v>6.1486529999999998E-2</v>
      </c>
      <c r="AA115" s="86"/>
      <c r="AB115" s="86">
        <v>0</v>
      </c>
      <c r="AC115" s="86">
        <v>0</v>
      </c>
      <c r="AD115" s="88">
        <v>0.11689441</v>
      </c>
      <c r="AE115" s="88">
        <v>3.6443870000000003E-2</v>
      </c>
      <c r="AF115" s="88">
        <v>0</v>
      </c>
      <c r="AG115" s="88">
        <v>6.1486529999999998E-2</v>
      </c>
    </row>
    <row r="116" spans="1:33" ht="15" customHeight="1" x14ac:dyDescent="0.35">
      <c r="A116" s="31" t="s">
        <v>82</v>
      </c>
      <c r="B116" s="37">
        <f t="shared" ref="B116:K116" si="8">(B107*B110)</f>
        <v>1.5797656896084511</v>
      </c>
      <c r="C116" s="37">
        <f t="shared" si="8"/>
        <v>0.51715165089961102</v>
      </c>
      <c r="D116" s="37">
        <f t="shared" si="8"/>
        <v>0.38460076906931046</v>
      </c>
      <c r="E116" s="37">
        <f t="shared" si="8"/>
        <v>9.1558978784266216</v>
      </c>
      <c r="F116" s="37">
        <f t="shared" si="8"/>
        <v>6.0967920746165865</v>
      </c>
      <c r="G116" s="37">
        <f t="shared" si="8"/>
        <v>5.5100305402846343</v>
      </c>
      <c r="H116" s="37">
        <f t="shared" si="8"/>
        <v>16.207100522391745</v>
      </c>
      <c r="I116" s="37">
        <f t="shared" si="8"/>
        <v>14.838312723896525</v>
      </c>
      <c r="J116" s="37">
        <f t="shared" si="8"/>
        <v>6.0967920746165865</v>
      </c>
      <c r="K116" s="37">
        <f t="shared" si="8"/>
        <v>5.5100305402846343</v>
      </c>
      <c r="L116" s="29"/>
      <c r="M116" s="31" t="s">
        <v>82</v>
      </c>
      <c r="N116" s="88">
        <v>0</v>
      </c>
      <c r="O116" s="86">
        <v>0</v>
      </c>
      <c r="P116" s="88">
        <v>0</v>
      </c>
      <c r="Q116" s="88">
        <v>0</v>
      </c>
      <c r="R116" s="88">
        <v>0</v>
      </c>
      <c r="S116" s="88">
        <v>0</v>
      </c>
      <c r="T116" s="86"/>
      <c r="U116" s="86">
        <v>0</v>
      </c>
      <c r="V116" s="86">
        <v>0</v>
      </c>
      <c r="W116" s="88">
        <v>0</v>
      </c>
      <c r="X116" s="88">
        <v>0</v>
      </c>
      <c r="Y116" s="88">
        <v>0</v>
      </c>
      <c r="Z116" s="88">
        <v>0</v>
      </c>
      <c r="AA116" s="86"/>
      <c r="AB116" s="86">
        <v>0</v>
      </c>
      <c r="AC116" s="86">
        <v>0</v>
      </c>
      <c r="AD116" s="88">
        <v>0</v>
      </c>
      <c r="AE116" s="88">
        <v>0</v>
      </c>
      <c r="AF116" s="88">
        <v>0</v>
      </c>
      <c r="AG116" s="88">
        <v>0</v>
      </c>
    </row>
    <row r="117" spans="1:33" ht="15" customHeight="1" x14ac:dyDescent="0.35">
      <c r="A117" s="31" t="s">
        <v>83</v>
      </c>
      <c r="B117" s="37">
        <f t="shared" ref="B117:K117" si="9">(B107*B108)</f>
        <v>-0.12505679271143638</v>
      </c>
      <c r="C117" s="37">
        <f t="shared" si="9"/>
        <v>-0.68600802799986138</v>
      </c>
      <c r="D117" s="37">
        <f t="shared" si="9"/>
        <v>-0.56953020770552576</v>
      </c>
      <c r="E117" s="37">
        <f t="shared" si="9"/>
        <v>35.164653555741438</v>
      </c>
      <c r="F117" s="37">
        <f t="shared" si="9"/>
        <v>18.195071297367271</v>
      </c>
      <c r="G117" s="37">
        <f t="shared" si="9"/>
        <v>-0.977553992694146</v>
      </c>
      <c r="H117" s="37">
        <f t="shared" si="9"/>
        <v>-1.7497308068937842</v>
      </c>
      <c r="I117" s="37">
        <f t="shared" si="9"/>
        <v>-0.977553992694146</v>
      </c>
      <c r="J117" s="37">
        <f t="shared" si="9"/>
        <v>18.195071297367271</v>
      </c>
      <c r="K117" s="37">
        <f t="shared" si="9"/>
        <v>16.812283032809699</v>
      </c>
      <c r="L117" s="29"/>
      <c r="M117" s="31" t="s">
        <v>83</v>
      </c>
      <c r="N117" s="88">
        <v>0</v>
      </c>
      <c r="O117" s="86">
        <v>0</v>
      </c>
      <c r="P117" s="88">
        <v>0</v>
      </c>
      <c r="Q117" s="88">
        <v>0</v>
      </c>
      <c r="R117" s="88">
        <v>0</v>
      </c>
      <c r="S117" s="88">
        <v>0</v>
      </c>
      <c r="T117" s="86"/>
      <c r="U117" s="86">
        <v>0</v>
      </c>
      <c r="V117" s="86">
        <v>0</v>
      </c>
      <c r="W117" s="88">
        <v>0</v>
      </c>
      <c r="X117" s="88">
        <v>0</v>
      </c>
      <c r="Y117" s="88">
        <v>0</v>
      </c>
      <c r="Z117" s="88">
        <v>0</v>
      </c>
      <c r="AA117" s="86"/>
      <c r="AB117" s="86">
        <v>0</v>
      </c>
      <c r="AC117" s="86">
        <v>0</v>
      </c>
      <c r="AD117" s="88">
        <v>0</v>
      </c>
      <c r="AE117" s="88">
        <v>0</v>
      </c>
      <c r="AF117" s="88">
        <v>0</v>
      </c>
      <c r="AG117" s="88">
        <v>0</v>
      </c>
    </row>
    <row r="118" spans="1:33" ht="15" customHeight="1" x14ac:dyDescent="0.35">
      <c r="A118" s="31" t="s">
        <v>84</v>
      </c>
      <c r="B118" s="37">
        <f t="shared" ref="B118:K118" si="10">(B108*B110)</f>
        <v>-2.8539143070487341E-2</v>
      </c>
      <c r="C118" s="37">
        <f t="shared" si="10"/>
        <v>-0.15042938215620508</v>
      </c>
      <c r="D118" s="37">
        <f t="shared" si="10"/>
        <v>-0.11962375326034108</v>
      </c>
      <c r="E118" s="37">
        <f t="shared" si="10"/>
        <v>46.510204408490686</v>
      </c>
      <c r="F118" s="37">
        <f t="shared" si="10"/>
        <v>47.037117971944575</v>
      </c>
      <c r="G118" s="37">
        <f t="shared" si="10"/>
        <v>-2.9416112120148434</v>
      </c>
      <c r="H118" s="37">
        <f t="shared" si="10"/>
        <v>-12.02436421462458</v>
      </c>
      <c r="I118" s="37">
        <f t="shared" si="10"/>
        <v>-7.9216524766742493</v>
      </c>
      <c r="J118" s="37">
        <f t="shared" si="10"/>
        <v>47.037117971944575</v>
      </c>
      <c r="K118" s="37">
        <f t="shared" si="10"/>
        <v>50.590760856677619</v>
      </c>
      <c r="L118" s="29"/>
      <c r="M118" s="31" t="s">
        <v>84</v>
      </c>
      <c r="N118" s="88">
        <v>0</v>
      </c>
      <c r="O118" s="86">
        <v>0</v>
      </c>
      <c r="P118" s="88">
        <v>0</v>
      </c>
      <c r="Q118" s="88">
        <v>0</v>
      </c>
      <c r="R118" s="88">
        <v>0</v>
      </c>
      <c r="S118" s="88">
        <v>0</v>
      </c>
      <c r="T118" s="86"/>
      <c r="U118" s="86">
        <v>0</v>
      </c>
      <c r="V118" s="87">
        <v>1.9031084E-2</v>
      </c>
      <c r="W118" s="88">
        <v>0</v>
      </c>
      <c r="X118" s="88">
        <v>0</v>
      </c>
      <c r="Y118" s="88">
        <v>0</v>
      </c>
      <c r="Z118" s="88">
        <v>0</v>
      </c>
      <c r="AA118" s="86"/>
      <c r="AB118" s="86">
        <v>0</v>
      </c>
      <c r="AC118" s="87">
        <v>1.6760723000000002E-2</v>
      </c>
      <c r="AD118" s="88">
        <v>0</v>
      </c>
      <c r="AE118" s="88">
        <v>0</v>
      </c>
      <c r="AF118" s="88">
        <v>0</v>
      </c>
      <c r="AG118" s="88">
        <v>0</v>
      </c>
    </row>
    <row r="119" spans="1:33" ht="15" customHeight="1" x14ac:dyDescent="0.35">
      <c r="A119" s="31" t="s">
        <v>85</v>
      </c>
      <c r="B119" s="37">
        <f t="shared" ref="B119:K119" si="11">(B108*B108)</f>
        <v>2.2592044646902987E-3</v>
      </c>
      <c r="C119" s="37">
        <f t="shared" si="11"/>
        <v>0.19954642632717429</v>
      </c>
      <c r="D119" s="37">
        <f t="shared" si="11"/>
        <v>0.17714301821533474</v>
      </c>
      <c r="E119" s="37">
        <f t="shared" si="11"/>
        <v>178.62969274536573</v>
      </c>
      <c r="F119" s="37">
        <f t="shared" si="11"/>
        <v>140.37607066926734</v>
      </c>
      <c r="G119" s="37">
        <f t="shared" si="11"/>
        <v>0.52188164189566011</v>
      </c>
      <c r="H119" s="37">
        <f t="shared" si="11"/>
        <v>1.2981594376225256</v>
      </c>
      <c r="I119" s="37">
        <f t="shared" si="11"/>
        <v>0.52188164189566011</v>
      </c>
      <c r="J119" s="37">
        <f t="shared" si="11"/>
        <v>140.37607066926734</v>
      </c>
      <c r="K119" s="37">
        <f t="shared" si="11"/>
        <v>154.36324429586867</v>
      </c>
      <c r="L119" s="29"/>
      <c r="M119" s="31" t="s">
        <v>85</v>
      </c>
      <c r="N119" s="88">
        <v>0</v>
      </c>
      <c r="O119" s="86">
        <v>0</v>
      </c>
      <c r="P119" s="88">
        <v>0</v>
      </c>
      <c r="Q119" s="88">
        <v>0</v>
      </c>
      <c r="R119" s="88">
        <v>0</v>
      </c>
      <c r="S119" s="88">
        <v>0</v>
      </c>
      <c r="T119" s="86"/>
      <c r="U119" s="87">
        <v>6.2682470999999998E-3</v>
      </c>
      <c r="V119" s="87">
        <v>1.7085653999999999E-2</v>
      </c>
      <c r="W119" s="88">
        <v>0</v>
      </c>
      <c r="X119" s="88">
        <v>0</v>
      </c>
      <c r="Y119" s="88">
        <v>0</v>
      </c>
      <c r="Z119" s="88">
        <v>0</v>
      </c>
      <c r="AA119" s="87"/>
      <c r="AB119" s="87">
        <v>-2.221126E-2</v>
      </c>
      <c r="AC119" s="87">
        <v>1.9563428000000001E-2</v>
      </c>
      <c r="AD119" s="88">
        <v>0</v>
      </c>
      <c r="AE119" s="88">
        <v>0</v>
      </c>
      <c r="AF119" s="88">
        <v>0</v>
      </c>
      <c r="AG119" s="88">
        <v>0</v>
      </c>
    </row>
    <row r="120" spans="1:33" ht="15" customHeight="1" x14ac:dyDescent="0.35">
      <c r="A120" s="31" t="s">
        <v>86</v>
      </c>
      <c r="B120" s="37">
        <f t="shared" ref="B120:K120" si="12">(B108*B109)</f>
        <v>-1.4549830830786687E-2</v>
      </c>
      <c r="C120" s="37">
        <f t="shared" si="12"/>
        <v>-0.1270949752156445</v>
      </c>
      <c r="D120" s="37">
        <f t="shared" si="12"/>
        <v>-0.10207452395989734</v>
      </c>
      <c r="E120" s="37">
        <f t="shared" si="12"/>
        <v>179.30957723743722</v>
      </c>
      <c r="F120" s="37">
        <f t="shared" si="12"/>
        <v>176.70902627843662</v>
      </c>
      <c r="G120" s="37">
        <f t="shared" si="12"/>
        <v>-9.7685554482589119</v>
      </c>
      <c r="H120" s="37">
        <f t="shared" si="12"/>
        <v>-1.5265275399342877</v>
      </c>
      <c r="I120" s="37">
        <f t="shared" si="12"/>
        <v>0.13933322297083667</v>
      </c>
      <c r="J120" s="37">
        <f t="shared" si="12"/>
        <v>176.70902627843662</v>
      </c>
      <c r="K120" s="37">
        <f t="shared" si="12"/>
        <v>168.00270905262249</v>
      </c>
      <c r="L120" s="29"/>
      <c r="M120" s="31" t="s">
        <v>86</v>
      </c>
      <c r="N120" s="88">
        <v>0</v>
      </c>
      <c r="O120" s="86">
        <v>0</v>
      </c>
      <c r="P120" s="88">
        <v>0</v>
      </c>
      <c r="Q120" s="88">
        <v>0</v>
      </c>
      <c r="R120" s="88">
        <v>0</v>
      </c>
      <c r="S120" s="88">
        <v>0</v>
      </c>
      <c r="T120" s="86"/>
      <c r="U120" s="86">
        <v>0</v>
      </c>
      <c r="V120" s="86">
        <v>0</v>
      </c>
      <c r="W120" s="88">
        <v>0</v>
      </c>
      <c r="X120" s="88">
        <v>0</v>
      </c>
      <c r="Y120" s="88">
        <v>0</v>
      </c>
      <c r="Z120" s="88">
        <v>0</v>
      </c>
      <c r="AA120" s="86"/>
      <c r="AB120" s="86">
        <v>0</v>
      </c>
      <c r="AC120" s="86">
        <v>0</v>
      </c>
      <c r="AD120" s="88">
        <v>0</v>
      </c>
      <c r="AE120" s="88">
        <v>0</v>
      </c>
      <c r="AF120" s="88">
        <v>0</v>
      </c>
      <c r="AG120" s="88">
        <v>0</v>
      </c>
    </row>
    <row r="121" spans="1:33" ht="15" customHeight="1" x14ac:dyDescent="0.35">
      <c r="A121" s="31" t="s">
        <v>87</v>
      </c>
      <c r="B121" s="37">
        <f t="shared" ref="B121:K121" si="13">(B108*B112)</f>
        <v>4.2615331271633056E-2</v>
      </c>
      <c r="C121" s="37">
        <f t="shared" si="13"/>
        <v>0.1659590350007564</v>
      </c>
      <c r="D121" s="37">
        <f t="shared" si="13"/>
        <v>0.14938896538266719</v>
      </c>
      <c r="E121" s="37">
        <f t="shared" si="13"/>
        <v>9.654038484834544</v>
      </c>
      <c r="F121" s="37">
        <f t="shared" si="13"/>
        <v>14.57200857813303</v>
      </c>
      <c r="G121" s="37">
        <f t="shared" si="13"/>
        <v>-0.88771066612991845</v>
      </c>
      <c r="H121" s="37">
        <f t="shared" si="13"/>
        <v>-1.401318626938777</v>
      </c>
      <c r="I121" s="37">
        <f t="shared" si="13"/>
        <v>-0.88771066612991845</v>
      </c>
      <c r="J121" s="37">
        <f t="shared" si="13"/>
        <v>14.57200857813303</v>
      </c>
      <c r="K121" s="37">
        <f t="shared" si="13"/>
        <v>15.267129060655105</v>
      </c>
      <c r="L121" s="29"/>
      <c r="M121" s="31" t="s">
        <v>87</v>
      </c>
      <c r="N121" s="88">
        <v>0</v>
      </c>
      <c r="O121" s="86">
        <v>0</v>
      </c>
      <c r="P121" s="88">
        <v>0</v>
      </c>
      <c r="Q121" s="88">
        <v>0</v>
      </c>
      <c r="R121" s="88">
        <v>0</v>
      </c>
      <c r="S121" s="88">
        <v>0</v>
      </c>
      <c r="T121" s="86"/>
      <c r="U121" s="86">
        <v>0</v>
      </c>
      <c r="V121" s="87">
        <v>1.37237E-2</v>
      </c>
      <c r="W121" s="88">
        <v>0</v>
      </c>
      <c r="X121" s="88">
        <v>0</v>
      </c>
      <c r="Y121" s="88">
        <v>0</v>
      </c>
      <c r="Z121" s="88">
        <v>0</v>
      </c>
      <c r="AA121" s="86"/>
      <c r="AB121" s="87">
        <v>-1.5564145E-2</v>
      </c>
      <c r="AC121" s="87">
        <v>1.4082449E-2</v>
      </c>
      <c r="AD121" s="88">
        <v>0</v>
      </c>
      <c r="AE121" s="88">
        <v>0</v>
      </c>
      <c r="AF121" s="88">
        <v>0</v>
      </c>
      <c r="AG121" s="88">
        <v>0</v>
      </c>
    </row>
    <row r="122" spans="1:33" ht="15" customHeight="1" x14ac:dyDescent="0.35">
      <c r="A122" s="31" t="s">
        <v>88</v>
      </c>
      <c r="B122" s="37">
        <f t="shared" ref="B122:K122" si="14">(B109*B109)</f>
        <v>9.3704478949642664E-2</v>
      </c>
      <c r="C122" s="37">
        <f t="shared" si="14"/>
        <v>8.0949245859110383E-2</v>
      </c>
      <c r="D122" s="37">
        <f t="shared" si="14"/>
        <v>5.8818058688455251E-2</v>
      </c>
      <c r="E122" s="37">
        <f t="shared" si="14"/>
        <v>179.99204944555669</v>
      </c>
      <c r="F122" s="37">
        <f t="shared" si="14"/>
        <v>222.44588995401739</v>
      </c>
      <c r="G122" s="37">
        <f t="shared" si="14"/>
        <v>182.84735059676072</v>
      </c>
      <c r="H122" s="37">
        <f t="shared" si="14"/>
        <v>1.7950694364981545</v>
      </c>
      <c r="I122" s="37">
        <f t="shared" si="14"/>
        <v>3.7199520858643809E-2</v>
      </c>
      <c r="J122" s="37">
        <f t="shared" si="14"/>
        <v>222.44588995401739</v>
      </c>
      <c r="K122" s="37">
        <f t="shared" si="14"/>
        <v>182.84735059676072</v>
      </c>
      <c r="L122" s="29"/>
      <c r="M122" s="31" t="s">
        <v>88</v>
      </c>
      <c r="N122" s="88">
        <v>0</v>
      </c>
      <c r="O122" s="86">
        <v>0</v>
      </c>
      <c r="P122" s="88">
        <v>0</v>
      </c>
      <c r="Q122" s="88">
        <v>0</v>
      </c>
      <c r="R122" s="88">
        <v>0</v>
      </c>
      <c r="S122" s="88">
        <v>0</v>
      </c>
      <c r="T122" s="86"/>
      <c r="U122" s="86">
        <v>0</v>
      </c>
      <c r="V122" s="87">
        <v>1.3914446E-2</v>
      </c>
      <c r="W122" s="88">
        <v>0</v>
      </c>
      <c r="X122" s="88">
        <v>0</v>
      </c>
      <c r="Y122" s="88">
        <v>0</v>
      </c>
      <c r="Z122" s="88">
        <v>0</v>
      </c>
      <c r="AA122" s="86"/>
      <c r="AB122" s="86">
        <v>0</v>
      </c>
      <c r="AC122" s="87">
        <v>1.5215598E-2</v>
      </c>
      <c r="AD122" s="88">
        <v>0</v>
      </c>
      <c r="AE122" s="88">
        <v>0</v>
      </c>
      <c r="AF122" s="88">
        <v>0</v>
      </c>
      <c r="AG122" s="88">
        <v>0</v>
      </c>
    </row>
    <row r="123" spans="1:33" ht="15" customHeight="1" x14ac:dyDescent="0.35">
      <c r="A123" s="31" t="s">
        <v>89</v>
      </c>
      <c r="B123" s="37">
        <f t="shared" ref="B123:K123" si="15">(B109*B112)</f>
        <v>-0.27445318495561366</v>
      </c>
      <c r="C123" s="37">
        <f t="shared" si="15"/>
        <v>-0.10570251659456065</v>
      </c>
      <c r="D123" s="37">
        <f t="shared" si="15"/>
        <v>-8.6081899698473643E-2</v>
      </c>
      <c r="E123" s="37">
        <f t="shared" si="15"/>
        <v>9.6907828298021901</v>
      </c>
      <c r="F123" s="37">
        <f t="shared" si="15"/>
        <v>18.343621063662258</v>
      </c>
      <c r="G123" s="37">
        <f t="shared" si="15"/>
        <v>16.616125511911932</v>
      </c>
      <c r="H123" s="37">
        <f t="shared" si="15"/>
        <v>1.6478341675523527</v>
      </c>
      <c r="I123" s="37">
        <f t="shared" si="15"/>
        <v>-0.23700314065118766</v>
      </c>
      <c r="J123" s="37">
        <f t="shared" si="15"/>
        <v>18.343621063662258</v>
      </c>
      <c r="K123" s="37">
        <f t="shared" si="15"/>
        <v>16.616125511911932</v>
      </c>
      <c r="L123" s="29"/>
      <c r="M123" s="31" t="s">
        <v>89</v>
      </c>
      <c r="N123" s="88">
        <v>0</v>
      </c>
      <c r="O123" s="86">
        <v>0</v>
      </c>
      <c r="P123" s="88">
        <v>0</v>
      </c>
      <c r="Q123" s="88">
        <v>0</v>
      </c>
      <c r="R123" s="88">
        <v>0</v>
      </c>
      <c r="S123" s="88">
        <v>0</v>
      </c>
      <c r="T123" s="86"/>
      <c r="U123" s="86">
        <v>0</v>
      </c>
      <c r="V123" s="86">
        <v>0</v>
      </c>
      <c r="W123" s="88">
        <v>0</v>
      </c>
      <c r="X123" s="88">
        <v>0</v>
      </c>
      <c r="Y123" s="88">
        <v>0</v>
      </c>
      <c r="Z123" s="88">
        <v>0</v>
      </c>
      <c r="AA123" s="86"/>
      <c r="AB123" s="86">
        <v>0</v>
      </c>
      <c r="AC123" s="87">
        <v>1.3372492E-2</v>
      </c>
      <c r="AD123" s="88">
        <v>0</v>
      </c>
      <c r="AE123" s="88">
        <v>0</v>
      </c>
      <c r="AF123" s="88">
        <v>0</v>
      </c>
      <c r="AG123" s="88">
        <v>0</v>
      </c>
    </row>
    <row r="124" spans="1:33" ht="15" customHeight="1" x14ac:dyDescent="0.35">
      <c r="A124" s="31" t="s">
        <v>90</v>
      </c>
      <c r="B124" s="37">
        <f t="shared" ref="B124:K124" si="16">(B107*B109)</f>
        <v>0.80539641569873988</v>
      </c>
      <c r="C124" s="37">
        <f t="shared" si="16"/>
        <v>0.43693177032107156</v>
      </c>
      <c r="D124" s="37">
        <f t="shared" si="16"/>
        <v>0.32817847080856877</v>
      </c>
      <c r="E124" s="37">
        <f t="shared" si="16"/>
        <v>35.298494141000106</v>
      </c>
      <c r="F124" s="37">
        <f t="shared" si="16"/>
        <v>22.90442606560589</v>
      </c>
      <c r="G124" s="37">
        <f t="shared" si="16"/>
        <v>18.297808573248961</v>
      </c>
      <c r="H124" s="37">
        <f t="shared" si="16"/>
        <v>2.0575379162104683</v>
      </c>
      <c r="I124" s="37">
        <f t="shared" si="16"/>
        <v>-0.26098972927144415</v>
      </c>
      <c r="J124" s="37">
        <f t="shared" si="16"/>
        <v>22.90442606560589</v>
      </c>
      <c r="K124" s="37">
        <f t="shared" si="16"/>
        <v>18.297808573248961</v>
      </c>
      <c r="L124" s="29"/>
      <c r="M124" s="31" t="s">
        <v>90</v>
      </c>
      <c r="N124" s="88">
        <v>0</v>
      </c>
      <c r="O124" s="86">
        <v>0</v>
      </c>
      <c r="P124" s="88">
        <v>0</v>
      </c>
      <c r="Q124" s="88">
        <v>0</v>
      </c>
      <c r="R124" s="88">
        <v>0</v>
      </c>
      <c r="S124" s="88">
        <v>0</v>
      </c>
      <c r="T124" s="86"/>
      <c r="U124" s="86">
        <v>0</v>
      </c>
      <c r="V124" s="86">
        <v>0</v>
      </c>
      <c r="W124" s="88">
        <v>0</v>
      </c>
      <c r="X124" s="88">
        <v>0</v>
      </c>
      <c r="Y124" s="88">
        <v>0</v>
      </c>
      <c r="Z124" s="88">
        <v>0</v>
      </c>
      <c r="AA124" s="86"/>
      <c r="AB124" s="86">
        <v>0</v>
      </c>
      <c r="AC124" s="86">
        <v>0</v>
      </c>
      <c r="AD124" s="88">
        <v>0</v>
      </c>
      <c r="AE124" s="88">
        <v>0</v>
      </c>
      <c r="AF124" s="88">
        <v>0</v>
      </c>
      <c r="AG124" s="88">
        <v>0</v>
      </c>
    </row>
    <row r="125" spans="1:33" ht="15" customHeight="1" x14ac:dyDescent="0.35">
      <c r="A125" s="31" t="s">
        <v>91</v>
      </c>
      <c r="B125" s="37">
        <f t="shared" ref="B125:K125" si="17">(B109*B110)</f>
        <v>0.18379908070345097</v>
      </c>
      <c r="C125" s="37">
        <f t="shared" si="17"/>
        <v>9.5811380583186084E-2</v>
      </c>
      <c r="D125" s="37">
        <f t="shared" si="17"/>
        <v>6.8930391902335242E-2</v>
      </c>
      <c r="E125" s="37">
        <f t="shared" si="17"/>
        <v>46.687227423054594</v>
      </c>
      <c r="F125" s="37">
        <f t="shared" si="17"/>
        <v>59.211539945077028</v>
      </c>
      <c r="G125" s="37">
        <f t="shared" si="17"/>
        <v>55.060937049654171</v>
      </c>
      <c r="H125" s="37">
        <f t="shared" si="17"/>
        <v>14.139652335341339</v>
      </c>
      <c r="I125" s="37">
        <f t="shared" si="17"/>
        <v>-2.1149419374491174</v>
      </c>
      <c r="J125" s="37">
        <f t="shared" si="17"/>
        <v>59.211539945077028</v>
      </c>
      <c r="K125" s="37">
        <f t="shared" si="17"/>
        <v>55.060937049654171</v>
      </c>
      <c r="L125" s="29"/>
      <c r="M125" s="31" t="s">
        <v>91</v>
      </c>
      <c r="N125" s="88">
        <v>0</v>
      </c>
      <c r="O125" s="86">
        <v>1.66061796E-2</v>
      </c>
      <c r="P125" s="88">
        <v>0</v>
      </c>
      <c r="Q125" s="88">
        <v>0</v>
      </c>
      <c r="R125" s="88">
        <v>0</v>
      </c>
      <c r="S125" s="88">
        <v>0</v>
      </c>
      <c r="T125" s="86"/>
      <c r="U125" s="86">
        <v>-2.8916324E-3</v>
      </c>
      <c r="V125" s="86">
        <v>0</v>
      </c>
      <c r="W125" s="88">
        <v>0</v>
      </c>
      <c r="X125" s="88">
        <v>0</v>
      </c>
      <c r="Y125" s="88">
        <v>0</v>
      </c>
      <c r="Z125" s="88">
        <v>0</v>
      </c>
      <c r="AA125" s="86"/>
      <c r="AB125" s="86">
        <v>0</v>
      </c>
      <c r="AC125" s="86">
        <v>0</v>
      </c>
      <c r="AD125" s="88">
        <v>0</v>
      </c>
      <c r="AE125" s="88">
        <v>0</v>
      </c>
      <c r="AF125" s="88">
        <v>0</v>
      </c>
      <c r="AG125" s="88">
        <v>0</v>
      </c>
    </row>
    <row r="126" spans="1:33" ht="15" customHeight="1" x14ac:dyDescent="0.35">
      <c r="A126" s="31" t="s">
        <v>92</v>
      </c>
      <c r="B126" s="37">
        <f t="shared" ref="B126:K126" si="18">(B110*B110)</f>
        <v>0.36051747414964425</v>
      </c>
      <c r="C126" s="37">
        <f t="shared" si="18"/>
        <v>0.11340217628751374</v>
      </c>
      <c r="D126" s="37">
        <f t="shared" si="18"/>
        <v>8.0781294618656338E-2</v>
      </c>
      <c r="E126" s="37">
        <f t="shared" si="18"/>
        <v>12.109963807658778</v>
      </c>
      <c r="F126" s="37">
        <f t="shared" si="18"/>
        <v>15.76116539349049</v>
      </c>
      <c r="G126" s="37">
        <f t="shared" si="18"/>
        <v>16.580534412401207</v>
      </c>
      <c r="H126" s="37">
        <f t="shared" si="18"/>
        <v>111.37717800730285</v>
      </c>
      <c r="I126" s="37">
        <f t="shared" si="18"/>
        <v>120.24293043391899</v>
      </c>
      <c r="J126" s="37">
        <f t="shared" si="18"/>
        <v>15.76116539349049</v>
      </c>
      <c r="K126" s="37">
        <f t="shared" si="18"/>
        <v>16.580534412401207</v>
      </c>
      <c r="L126" s="29"/>
      <c r="M126" s="31" t="s">
        <v>92</v>
      </c>
      <c r="N126" s="88">
        <v>0</v>
      </c>
      <c r="O126" s="86">
        <v>0</v>
      </c>
      <c r="P126" s="88">
        <v>0</v>
      </c>
      <c r="Q126" s="88">
        <v>0</v>
      </c>
      <c r="R126" s="88">
        <v>0</v>
      </c>
      <c r="S126" s="88">
        <v>0</v>
      </c>
      <c r="T126" s="86"/>
      <c r="U126" s="86">
        <v>0</v>
      </c>
      <c r="V126" s="87">
        <v>-1.0999478E-2</v>
      </c>
      <c r="W126" s="88">
        <v>0</v>
      </c>
      <c r="X126" s="88">
        <v>0</v>
      </c>
      <c r="Y126" s="88">
        <v>0</v>
      </c>
      <c r="Z126" s="88">
        <v>0</v>
      </c>
      <c r="AA126" s="86"/>
      <c r="AB126" s="86">
        <v>0</v>
      </c>
      <c r="AC126" s="87">
        <v>-9.7397089999999992E-3</v>
      </c>
      <c r="AD126" s="88">
        <v>0</v>
      </c>
      <c r="AE126" s="88">
        <v>0</v>
      </c>
      <c r="AF126" s="88">
        <v>0</v>
      </c>
      <c r="AG126" s="88">
        <v>0</v>
      </c>
    </row>
    <row r="127" spans="1:33" ht="15" customHeight="1" x14ac:dyDescent="0.35">
      <c r="A127" s="31" t="s">
        <v>93</v>
      </c>
      <c r="B127" s="37">
        <f t="shared" ref="B127:K127" si="19">(B114*B112)</f>
        <v>-0.84670316554450453</v>
      </c>
      <c r="C127" s="37">
        <f t="shared" si="19"/>
        <v>-0.36426661608741473</v>
      </c>
      <c r="D127" s="37">
        <f t="shared" si="19"/>
        <v>-0.31392547831116296</v>
      </c>
      <c r="E127" s="37">
        <f t="shared" si="19"/>
        <v>0.79612667008484239</v>
      </c>
      <c r="F127" s="37">
        <f t="shared" si="19"/>
        <v>1.3857294047937243</v>
      </c>
      <c r="G127" s="37">
        <f t="shared" si="19"/>
        <v>1.2612228023467469</v>
      </c>
      <c r="H127" s="37">
        <f t="shared" si="19"/>
        <v>1.3857294047937243</v>
      </c>
      <c r="I127" s="37">
        <f t="shared" si="19"/>
        <v>1.2612228023467469</v>
      </c>
      <c r="J127" s="37">
        <f t="shared" si="19"/>
        <v>1.3857294047937243</v>
      </c>
      <c r="K127" s="37">
        <f t="shared" si="19"/>
        <v>1.2612228023467469</v>
      </c>
      <c r="L127" s="29"/>
      <c r="M127" s="31" t="s">
        <v>93</v>
      </c>
      <c r="N127" s="88">
        <v>0</v>
      </c>
      <c r="O127" s="86">
        <v>0</v>
      </c>
      <c r="P127" s="88">
        <v>0</v>
      </c>
      <c r="Q127" s="88">
        <v>0</v>
      </c>
      <c r="R127" s="88">
        <v>0</v>
      </c>
      <c r="S127" s="88">
        <v>0</v>
      </c>
      <c r="T127" s="86"/>
      <c r="U127" s="86">
        <v>0</v>
      </c>
      <c r="V127" s="86">
        <v>0</v>
      </c>
      <c r="W127" s="88">
        <v>0</v>
      </c>
      <c r="X127" s="88">
        <v>0</v>
      </c>
      <c r="Y127" s="88">
        <v>0</v>
      </c>
      <c r="Z127" s="88">
        <v>0</v>
      </c>
      <c r="AA127" s="86"/>
      <c r="AB127" s="86">
        <v>0</v>
      </c>
      <c r="AC127" s="86">
        <v>0</v>
      </c>
      <c r="AD127" s="88">
        <v>0</v>
      </c>
      <c r="AE127" s="88">
        <v>0</v>
      </c>
      <c r="AF127" s="88">
        <v>0</v>
      </c>
      <c r="AG127" s="88">
        <v>0</v>
      </c>
    </row>
    <row r="128" spans="1:33" ht="15" customHeight="1" x14ac:dyDescent="0.35">
      <c r="A128" s="31" t="s">
        <v>94</v>
      </c>
      <c r="B128" s="37">
        <f t="shared" ref="B128:K128" si="20">(B110*B112)</f>
        <v>-0.53833331828337705</v>
      </c>
      <c r="C128" s="37">
        <f t="shared" si="20"/>
        <v>-0.12510930693126648</v>
      </c>
      <c r="D128" s="37">
        <f t="shared" si="20"/>
        <v>-0.10088158661173145</v>
      </c>
      <c r="E128" s="37">
        <f t="shared" si="20"/>
        <v>2.5136431485506168</v>
      </c>
      <c r="F128" s="37">
        <f t="shared" si="20"/>
        <v>4.88277869091183</v>
      </c>
      <c r="G128" s="37">
        <f t="shared" si="20"/>
        <v>5.0036242681918504</v>
      </c>
      <c r="H128" s="37">
        <f t="shared" si="20"/>
        <v>12.979889112780196</v>
      </c>
      <c r="I128" s="37">
        <f t="shared" si="20"/>
        <v>13.474578970386839</v>
      </c>
      <c r="J128" s="37">
        <f t="shared" si="20"/>
        <v>4.88277869091183</v>
      </c>
      <c r="K128" s="37">
        <f t="shared" si="20"/>
        <v>5.0036242681918504</v>
      </c>
      <c r="L128" s="29"/>
      <c r="M128" s="31" t="s">
        <v>94</v>
      </c>
      <c r="N128" s="88">
        <v>0</v>
      </c>
      <c r="O128" s="86">
        <v>0</v>
      </c>
      <c r="P128" s="88">
        <v>0</v>
      </c>
      <c r="Q128" s="88">
        <v>0</v>
      </c>
      <c r="R128" s="88">
        <v>0</v>
      </c>
      <c r="S128" s="88">
        <v>0</v>
      </c>
      <c r="T128" s="86"/>
      <c r="U128" s="86">
        <v>0</v>
      </c>
      <c r="V128" s="87">
        <v>7.2214460000000003E-3</v>
      </c>
      <c r="W128" s="88">
        <v>0</v>
      </c>
      <c r="X128" s="88">
        <v>0</v>
      </c>
      <c r="Y128" s="88">
        <v>0</v>
      </c>
      <c r="Z128" s="88">
        <v>0</v>
      </c>
      <c r="AA128" s="86"/>
      <c r="AB128" s="86">
        <v>0</v>
      </c>
      <c r="AC128" s="87">
        <v>6.9016360000000001E-3</v>
      </c>
      <c r="AD128" s="88">
        <v>0</v>
      </c>
      <c r="AE128" s="88">
        <v>0</v>
      </c>
      <c r="AF128" s="88">
        <v>0</v>
      </c>
      <c r="AG128" s="88">
        <v>0</v>
      </c>
    </row>
    <row r="129" spans="1:33" ht="15" customHeight="1" x14ac:dyDescent="0.35">
      <c r="A129" s="31" t="s">
        <v>95</v>
      </c>
      <c r="B129" s="37">
        <f t="shared" ref="B129:K129" si="21">(B110*B114)</f>
        <v>0.56703026959206249</v>
      </c>
      <c r="C129" s="37">
        <f t="shared" si="21"/>
        <v>0.33018028815310718</v>
      </c>
      <c r="D129" s="37">
        <f t="shared" si="21"/>
        <v>0.2513769598941622</v>
      </c>
      <c r="E129" s="37">
        <f t="shared" si="21"/>
        <v>3.8354947744266896</v>
      </c>
      <c r="F129" s="37">
        <f t="shared" si="21"/>
        <v>4.4730084491087991</v>
      </c>
      <c r="G129" s="37">
        <f t="shared" si="21"/>
        <v>4.1793202197358754</v>
      </c>
      <c r="H129" s="37">
        <f t="shared" si="21"/>
        <v>11.890597003305698</v>
      </c>
      <c r="I129" s="37">
        <f t="shared" si="21"/>
        <v>11.254758016375961</v>
      </c>
      <c r="J129" s="37">
        <f t="shared" si="21"/>
        <v>4.4730084491087991</v>
      </c>
      <c r="K129" s="37">
        <f t="shared" si="21"/>
        <v>4.1793202197358754</v>
      </c>
      <c r="L129" s="29"/>
      <c r="M129" s="31" t="s">
        <v>95</v>
      </c>
      <c r="N129" s="88">
        <v>0</v>
      </c>
      <c r="O129" s="87">
        <v>0</v>
      </c>
      <c r="P129" s="88">
        <v>0</v>
      </c>
      <c r="Q129" s="88">
        <v>0</v>
      </c>
      <c r="R129" s="88">
        <v>0</v>
      </c>
      <c r="S129" s="88">
        <v>0</v>
      </c>
      <c r="T129" s="86"/>
      <c r="U129" s="86">
        <v>0</v>
      </c>
      <c r="V129" s="86">
        <v>0</v>
      </c>
      <c r="W129" s="88">
        <v>0</v>
      </c>
      <c r="X129" s="88">
        <v>0</v>
      </c>
      <c r="Y129" s="88">
        <v>0</v>
      </c>
      <c r="Z129" s="88">
        <v>0</v>
      </c>
      <c r="AA129" s="86"/>
      <c r="AB129" s="86">
        <v>0</v>
      </c>
      <c r="AC129" s="86">
        <v>0</v>
      </c>
      <c r="AD129" s="88">
        <v>0</v>
      </c>
      <c r="AE129" s="88">
        <v>0</v>
      </c>
      <c r="AF129" s="88">
        <v>0</v>
      </c>
      <c r="AG129" s="88">
        <v>0</v>
      </c>
    </row>
    <row r="130" spans="1:33" ht="15" customHeight="1" x14ac:dyDescent="0.35">
      <c r="A130" s="31" t="s">
        <v>96</v>
      </c>
      <c r="B130" s="37">
        <f t="shared" ref="B130:K130" si="22">(B111*B109)</f>
        <v>7.7305386594089115E-2</v>
      </c>
      <c r="C130" s="37">
        <f t="shared" si="22"/>
        <v>3.3152868248944423E-2</v>
      </c>
      <c r="D130" s="37">
        <f t="shared" si="22"/>
        <v>1.3784259193782114E-2</v>
      </c>
      <c r="E130" s="37">
        <f t="shared" si="22"/>
        <v>18.339734626073202</v>
      </c>
      <c r="F130" s="37">
        <f t="shared" si="22"/>
        <v>20.71588780991096</v>
      </c>
      <c r="G130" s="37">
        <f t="shared" si="22"/>
        <v>19.075290941877398</v>
      </c>
      <c r="H130" s="37">
        <f t="shared" si="22"/>
        <v>1.8609383406842641</v>
      </c>
      <c r="I130" s="37">
        <f t="shared" si="22"/>
        <v>-0.27207930385570961</v>
      </c>
      <c r="J130" s="37">
        <f t="shared" si="22"/>
        <v>20.71588780991096</v>
      </c>
      <c r="K130" s="37">
        <f t="shared" si="22"/>
        <v>19.075290941877398</v>
      </c>
      <c r="L130" s="29"/>
      <c r="M130" s="31" t="s">
        <v>96</v>
      </c>
      <c r="N130" s="88">
        <v>0</v>
      </c>
      <c r="O130" s="86">
        <v>0</v>
      </c>
      <c r="P130" s="88">
        <v>0</v>
      </c>
      <c r="Q130" s="88">
        <v>0</v>
      </c>
      <c r="R130" s="88">
        <v>0</v>
      </c>
      <c r="S130" s="88">
        <v>0</v>
      </c>
      <c r="T130" s="86"/>
      <c r="U130" s="86">
        <v>0</v>
      </c>
      <c r="V130" s="86">
        <v>0</v>
      </c>
      <c r="W130" s="88">
        <v>0</v>
      </c>
      <c r="X130" s="88">
        <v>0</v>
      </c>
      <c r="Y130" s="88">
        <v>0</v>
      </c>
      <c r="Z130" s="88">
        <v>0</v>
      </c>
      <c r="AA130" s="86"/>
      <c r="AB130" s="86">
        <v>0</v>
      </c>
      <c r="AC130" s="86">
        <v>0</v>
      </c>
      <c r="AD130" s="88">
        <v>0</v>
      </c>
      <c r="AE130" s="88">
        <v>0</v>
      </c>
      <c r="AF130" s="88">
        <v>0</v>
      </c>
      <c r="AG130" s="88">
        <v>0</v>
      </c>
    </row>
    <row r="131" spans="1:33" ht="15" customHeight="1" x14ac:dyDescent="0.35">
      <c r="A131" s="31" t="s">
        <v>97</v>
      </c>
      <c r="B131" s="37">
        <f t="shared" ref="B131:K131" si="23">(B112*B112)</f>
        <v>0.80385219123581209</v>
      </c>
      <c r="C131" s="37">
        <f t="shared" si="23"/>
        <v>0.13802502908883996</v>
      </c>
      <c r="D131" s="37">
        <f t="shared" si="23"/>
        <v>0.12598330548356781</v>
      </c>
      <c r="E131" s="37">
        <f t="shared" si="23"/>
        <v>0.52175233374846863</v>
      </c>
      <c r="F131" s="37">
        <f t="shared" si="23"/>
        <v>1.512675436695146</v>
      </c>
      <c r="G131" s="37">
        <f t="shared" si="23"/>
        <v>1.5099788218233103</v>
      </c>
      <c r="H131" s="37">
        <f t="shared" si="23"/>
        <v>1.512675436695146</v>
      </c>
      <c r="I131" s="37">
        <f t="shared" si="23"/>
        <v>1.5099788218233103</v>
      </c>
      <c r="J131" s="37">
        <f t="shared" si="23"/>
        <v>1.512675436695146</v>
      </c>
      <c r="K131" s="37">
        <f t="shared" si="23"/>
        <v>1.5099788218233103</v>
      </c>
      <c r="L131" s="29"/>
      <c r="M131" s="31" t="s">
        <v>97</v>
      </c>
      <c r="N131" s="88">
        <v>0</v>
      </c>
      <c r="O131" s="86">
        <v>0</v>
      </c>
      <c r="P131" s="88">
        <v>0</v>
      </c>
      <c r="Q131" s="88">
        <v>0</v>
      </c>
      <c r="R131" s="88">
        <v>0</v>
      </c>
      <c r="S131" s="88">
        <v>0</v>
      </c>
      <c r="T131" s="86"/>
      <c r="U131" s="87">
        <v>1.0736929399999999E-2</v>
      </c>
      <c r="V131" s="86">
        <v>0</v>
      </c>
      <c r="W131" s="88">
        <v>0</v>
      </c>
      <c r="X131" s="88">
        <v>0</v>
      </c>
      <c r="Y131" s="88">
        <v>0</v>
      </c>
      <c r="Z131" s="88">
        <v>0</v>
      </c>
      <c r="AA131" s="87"/>
      <c r="AB131" s="87">
        <v>1.5198559E-2</v>
      </c>
      <c r="AC131" s="86">
        <v>0</v>
      </c>
      <c r="AD131" s="88">
        <v>0</v>
      </c>
      <c r="AE131" s="88">
        <v>0</v>
      </c>
      <c r="AF131" s="88">
        <v>0</v>
      </c>
      <c r="AG131" s="88">
        <v>0</v>
      </c>
    </row>
    <row r="132" spans="1:33" ht="15" customHeight="1" x14ac:dyDescent="0.35">
      <c r="A132" s="31" t="s">
        <v>98</v>
      </c>
      <c r="B132" s="37">
        <f t="shared" ref="B132:K132" si="24">(B114*B114)</f>
        <v>0.89183839810269105</v>
      </c>
      <c r="C132" s="37">
        <f t="shared" si="24"/>
        <v>0.96134859359725133</v>
      </c>
      <c r="D132" s="37">
        <f t="shared" si="24"/>
        <v>0.78224019884719076</v>
      </c>
      <c r="E132" s="37">
        <f t="shared" si="24"/>
        <v>1.214786468259357</v>
      </c>
      <c r="F132" s="37">
        <f t="shared" si="24"/>
        <v>1.2694368776855878</v>
      </c>
      <c r="G132" s="37">
        <f t="shared" si="24"/>
        <v>1.0534471968544696</v>
      </c>
      <c r="H132" s="37">
        <f t="shared" si="24"/>
        <v>1.2694368776855878</v>
      </c>
      <c r="I132" s="37">
        <f t="shared" si="24"/>
        <v>1.0534471968544696</v>
      </c>
      <c r="J132" s="37">
        <f t="shared" si="24"/>
        <v>1.2694368776855878</v>
      </c>
      <c r="K132" s="37">
        <f t="shared" si="24"/>
        <v>1.0534471968544696</v>
      </c>
      <c r="L132" s="29"/>
      <c r="M132" s="31" t="s">
        <v>98</v>
      </c>
      <c r="N132" s="88">
        <v>0</v>
      </c>
      <c r="O132" s="86">
        <v>0</v>
      </c>
      <c r="P132" s="88">
        <v>0</v>
      </c>
      <c r="Q132" s="88">
        <v>0</v>
      </c>
      <c r="R132" s="88">
        <v>0</v>
      </c>
      <c r="S132" s="88">
        <v>0</v>
      </c>
      <c r="T132" s="86"/>
      <c r="U132" s="86">
        <v>0</v>
      </c>
      <c r="V132" s="86">
        <v>0</v>
      </c>
      <c r="W132" s="88">
        <v>0</v>
      </c>
      <c r="X132" s="88">
        <v>0</v>
      </c>
      <c r="Y132" s="88">
        <v>0</v>
      </c>
      <c r="Z132" s="88">
        <v>0</v>
      </c>
      <c r="AA132" s="86"/>
      <c r="AB132" s="86">
        <v>0</v>
      </c>
      <c r="AC132" s="86">
        <v>0</v>
      </c>
      <c r="AD132" s="88">
        <v>0</v>
      </c>
      <c r="AE132" s="88">
        <v>0</v>
      </c>
      <c r="AF132" s="88">
        <v>0</v>
      </c>
      <c r="AG132" s="88">
        <v>0</v>
      </c>
    </row>
    <row r="133" spans="1:33" ht="15" customHeight="1" x14ac:dyDescent="0.35">
      <c r="A133" s="31" t="s">
        <v>99</v>
      </c>
      <c r="B133" s="37">
        <f t="shared" ref="B133:K133" si="25">(B107*B111)</f>
        <v>0.66444509350022085</v>
      </c>
      <c r="C133" s="37">
        <f t="shared" si="25"/>
        <v>0.17894597116376057</v>
      </c>
      <c r="D133" s="37">
        <f t="shared" si="25"/>
        <v>7.6910003565491283E-2</v>
      </c>
      <c r="E133" s="37">
        <f t="shared" si="25"/>
        <v>3.5966311692103616</v>
      </c>
      <c r="F133" s="37">
        <f t="shared" si="25"/>
        <v>2.1330379303639844</v>
      </c>
      <c r="G133" s="37">
        <f t="shared" si="25"/>
        <v>1.9088929699793304</v>
      </c>
      <c r="H133" s="37">
        <f t="shared" si="25"/>
        <v>2.1330379303639844</v>
      </c>
      <c r="I133" s="37">
        <f t="shared" si="25"/>
        <v>1.9088929699793304</v>
      </c>
      <c r="J133" s="37">
        <f t="shared" si="25"/>
        <v>2.1330379303639844</v>
      </c>
      <c r="K133" s="37">
        <f t="shared" si="25"/>
        <v>1.9088929699793304</v>
      </c>
      <c r="L133" s="29"/>
      <c r="M133" s="31" t="s">
        <v>99</v>
      </c>
      <c r="N133" s="88">
        <v>0</v>
      </c>
      <c r="O133" s="86">
        <v>0</v>
      </c>
      <c r="P133" s="88">
        <v>0</v>
      </c>
      <c r="Q133" s="88">
        <v>0</v>
      </c>
      <c r="R133" s="88">
        <v>0</v>
      </c>
      <c r="S133" s="88">
        <v>0</v>
      </c>
      <c r="T133" s="86"/>
      <c r="U133" s="86">
        <v>0</v>
      </c>
      <c r="V133" s="86">
        <v>0</v>
      </c>
      <c r="W133" s="88">
        <v>0</v>
      </c>
      <c r="X133" s="88">
        <v>0</v>
      </c>
      <c r="Y133" s="88">
        <v>0</v>
      </c>
      <c r="Z133" s="88">
        <v>0</v>
      </c>
      <c r="AA133" s="86"/>
      <c r="AB133" s="86">
        <v>0</v>
      </c>
      <c r="AC133" s="86">
        <v>0</v>
      </c>
      <c r="AD133" s="88">
        <v>0</v>
      </c>
      <c r="AE133" s="88">
        <v>0</v>
      </c>
      <c r="AF133" s="88">
        <v>0</v>
      </c>
      <c r="AG133" s="88">
        <v>0</v>
      </c>
    </row>
    <row r="134" spans="1:33" ht="15" customHeight="1" x14ac:dyDescent="0.35">
      <c r="A134" s="31" t="s">
        <v>100</v>
      </c>
      <c r="B134" s="37">
        <f t="shared" ref="B134:K134" si="26">(B111*B111)</f>
        <v>6.3776276902123077E-2</v>
      </c>
      <c r="C134" s="37">
        <f t="shared" si="26"/>
        <v>1.3577800033428828E-2</v>
      </c>
      <c r="D134" s="37">
        <f t="shared" si="26"/>
        <v>3.2303990603936893E-3</v>
      </c>
      <c r="E134" s="37">
        <f t="shared" si="26"/>
        <v>1.868670684015546</v>
      </c>
      <c r="F134" s="37">
        <f t="shared" si="26"/>
        <v>1.9292242614216348</v>
      </c>
      <c r="G134" s="37">
        <f t="shared" si="26"/>
        <v>1.9900027171830186</v>
      </c>
      <c r="H134" s="37">
        <f t="shared" si="26"/>
        <v>1.9292242614216348</v>
      </c>
      <c r="I134" s="37">
        <f t="shared" si="26"/>
        <v>1.9900027171830186</v>
      </c>
      <c r="J134" s="37">
        <f t="shared" si="26"/>
        <v>1.9292242614216348</v>
      </c>
      <c r="K134" s="37">
        <f t="shared" si="26"/>
        <v>1.9900027171830186</v>
      </c>
      <c r="L134" s="29"/>
      <c r="M134" s="31" t="s">
        <v>100</v>
      </c>
      <c r="N134" s="88">
        <v>0</v>
      </c>
      <c r="O134" s="86">
        <v>0</v>
      </c>
      <c r="P134" s="88">
        <v>0</v>
      </c>
      <c r="Q134" s="88">
        <v>0</v>
      </c>
      <c r="R134" s="88">
        <v>0</v>
      </c>
      <c r="S134" s="88">
        <v>0</v>
      </c>
      <c r="T134" s="86"/>
      <c r="U134" s="86">
        <v>0</v>
      </c>
      <c r="V134" s="86">
        <v>0</v>
      </c>
      <c r="W134" s="88">
        <v>0</v>
      </c>
      <c r="X134" s="88">
        <v>0</v>
      </c>
      <c r="Y134" s="88">
        <v>0</v>
      </c>
      <c r="Z134" s="88">
        <v>0</v>
      </c>
      <c r="AA134" s="86"/>
      <c r="AB134" s="86">
        <v>0</v>
      </c>
      <c r="AC134" s="86">
        <v>0</v>
      </c>
      <c r="AD134" s="88">
        <v>0</v>
      </c>
      <c r="AE134" s="88">
        <v>0</v>
      </c>
      <c r="AF134" s="88">
        <v>0</v>
      </c>
      <c r="AG134" s="88">
        <v>0</v>
      </c>
    </row>
    <row r="135" spans="1:33" ht="15" customHeight="1" x14ac:dyDescent="0.35">
      <c r="A135" s="31" t="s">
        <v>101</v>
      </c>
      <c r="B135" s="37">
        <f t="shared" ref="B135:K135" si="27">(B107*B114)</f>
        <v>2.4846922246524747</v>
      </c>
      <c r="C135" s="37">
        <f t="shared" si="27"/>
        <v>1.5057319594993488</v>
      </c>
      <c r="D135" s="37">
        <f t="shared" si="27"/>
        <v>1.196808896886284</v>
      </c>
      <c r="E135" s="37">
        <f t="shared" si="27"/>
        <v>2.8998764179361305</v>
      </c>
      <c r="F135" s="37">
        <f t="shared" si="27"/>
        <v>1.7302656105292022</v>
      </c>
      <c r="G135" s="37">
        <f t="shared" si="27"/>
        <v>1.3888685054174199</v>
      </c>
      <c r="H135" s="37">
        <f t="shared" si="27"/>
        <v>1.7302656105292022</v>
      </c>
      <c r="I135" s="37">
        <f t="shared" si="27"/>
        <v>1.3888685054174199</v>
      </c>
      <c r="J135" s="37">
        <f t="shared" si="27"/>
        <v>1.7302656105292022</v>
      </c>
      <c r="K135" s="37">
        <f t="shared" si="27"/>
        <v>1.3888685054174199</v>
      </c>
      <c r="L135" s="29"/>
      <c r="M135" s="31" t="s">
        <v>101</v>
      </c>
      <c r="N135" s="88">
        <v>0</v>
      </c>
      <c r="O135" s="86">
        <v>0</v>
      </c>
      <c r="P135" s="88">
        <v>0</v>
      </c>
      <c r="Q135" s="88">
        <v>0</v>
      </c>
      <c r="R135" s="88">
        <v>0</v>
      </c>
      <c r="S135" s="88">
        <v>0</v>
      </c>
      <c r="T135" s="86"/>
      <c r="U135" s="86">
        <v>0</v>
      </c>
      <c r="V135" s="86">
        <v>0</v>
      </c>
      <c r="W135" s="88">
        <v>0</v>
      </c>
      <c r="X135" s="88">
        <v>0</v>
      </c>
      <c r="Y135" s="88">
        <v>0</v>
      </c>
      <c r="Z135" s="88">
        <v>0</v>
      </c>
      <c r="AA135" s="86"/>
      <c r="AB135" s="86">
        <v>0</v>
      </c>
      <c r="AC135" s="86">
        <v>0</v>
      </c>
      <c r="AD135" s="88">
        <v>0</v>
      </c>
      <c r="AE135" s="88">
        <v>0</v>
      </c>
      <c r="AF135" s="88">
        <v>0</v>
      </c>
      <c r="AG135" s="88">
        <v>0</v>
      </c>
    </row>
    <row r="136" spans="1:33" ht="15" customHeight="1" x14ac:dyDescent="0.35">
      <c r="A136" s="31" t="s">
        <v>102</v>
      </c>
      <c r="B136" s="37">
        <f t="shared" ref="B136:K136" si="28">(B109*B114)</f>
        <v>0.28908346960955178</v>
      </c>
      <c r="C136" s="37">
        <f t="shared" si="28"/>
        <v>0.27896315824748952</v>
      </c>
      <c r="D136" s="37">
        <f t="shared" si="28"/>
        <v>0.21449906742049712</v>
      </c>
      <c r="E136" s="37">
        <f t="shared" si="28"/>
        <v>14.786882905491995</v>
      </c>
      <c r="F136" s="37">
        <f t="shared" si="28"/>
        <v>16.804196380583623</v>
      </c>
      <c r="G136" s="37">
        <f t="shared" si="28"/>
        <v>13.878761794137978</v>
      </c>
      <c r="H136" s="37">
        <f t="shared" si="28"/>
        <v>1.5095454086237501</v>
      </c>
      <c r="I136" s="37">
        <f t="shared" si="28"/>
        <v>-0.19795891233502899</v>
      </c>
      <c r="J136" s="37">
        <f t="shared" si="28"/>
        <v>16.804196380583623</v>
      </c>
      <c r="K136" s="37">
        <f t="shared" si="28"/>
        <v>13.878761794137978</v>
      </c>
      <c r="L136" s="29"/>
      <c r="M136" s="31" t="s">
        <v>102</v>
      </c>
      <c r="N136" s="88">
        <v>0</v>
      </c>
      <c r="O136" s="86">
        <v>0</v>
      </c>
      <c r="P136" s="88">
        <v>0</v>
      </c>
      <c r="Q136" s="88">
        <v>0</v>
      </c>
      <c r="R136" s="88">
        <v>0</v>
      </c>
      <c r="S136" s="88">
        <v>0</v>
      </c>
      <c r="T136" s="86"/>
      <c r="U136" s="86">
        <v>0</v>
      </c>
      <c r="V136" s="86">
        <v>0</v>
      </c>
      <c r="W136" s="88">
        <v>0</v>
      </c>
      <c r="X136" s="88">
        <v>0</v>
      </c>
      <c r="Y136" s="88">
        <v>0</v>
      </c>
      <c r="Z136" s="88">
        <v>0</v>
      </c>
      <c r="AA136" s="86"/>
      <c r="AB136" s="86">
        <v>0</v>
      </c>
      <c r="AC136" s="86">
        <v>0</v>
      </c>
      <c r="AD136" s="88">
        <v>0</v>
      </c>
      <c r="AE136" s="88">
        <v>0</v>
      </c>
      <c r="AF136" s="88">
        <v>0</v>
      </c>
      <c r="AG136" s="88">
        <v>0</v>
      </c>
    </row>
    <row r="137" spans="1:33" ht="15" customHeight="1" x14ac:dyDescent="0.35">
      <c r="A137" s="31" t="s">
        <v>103</v>
      </c>
      <c r="B137" s="37">
        <f t="shared" ref="B137:K137" si="29">(B109*B111)</f>
        <v>7.7305386594089115E-2</v>
      </c>
      <c r="C137" s="37">
        <f t="shared" si="29"/>
        <v>3.3152868248944423E-2</v>
      </c>
      <c r="D137" s="37">
        <f t="shared" si="29"/>
        <v>1.3784259193782114E-2</v>
      </c>
      <c r="E137" s="37">
        <f t="shared" si="29"/>
        <v>18.339734626073202</v>
      </c>
      <c r="F137" s="37">
        <f t="shared" si="29"/>
        <v>20.71588780991096</v>
      </c>
      <c r="G137" s="37">
        <f t="shared" si="29"/>
        <v>19.075290941877398</v>
      </c>
      <c r="H137" s="37">
        <f t="shared" si="29"/>
        <v>1.8609383406842641</v>
      </c>
      <c r="I137" s="37">
        <f t="shared" si="29"/>
        <v>-0.27207930385570961</v>
      </c>
      <c r="J137" s="37">
        <f t="shared" si="29"/>
        <v>20.71588780991096</v>
      </c>
      <c r="K137" s="37">
        <f t="shared" si="29"/>
        <v>19.075290941877398</v>
      </c>
      <c r="L137" s="29"/>
      <c r="M137" s="31" t="s">
        <v>103</v>
      </c>
      <c r="N137" s="88">
        <v>0</v>
      </c>
      <c r="O137" s="87">
        <v>-7.9947976000000007E-3</v>
      </c>
      <c r="P137" s="88">
        <v>0</v>
      </c>
      <c r="Q137" s="88">
        <v>0</v>
      </c>
      <c r="R137" s="88">
        <v>0</v>
      </c>
      <c r="S137" s="88">
        <v>0</v>
      </c>
      <c r="T137" s="86"/>
      <c r="U137" s="86">
        <v>0</v>
      </c>
      <c r="V137" s="86">
        <v>0</v>
      </c>
      <c r="W137" s="88">
        <v>0</v>
      </c>
      <c r="X137" s="88">
        <v>0</v>
      </c>
      <c r="Y137" s="88">
        <v>0</v>
      </c>
      <c r="Z137" s="88">
        <v>0</v>
      </c>
      <c r="AA137" s="86"/>
      <c r="AB137" s="86">
        <v>0</v>
      </c>
      <c r="AC137" s="86">
        <v>0</v>
      </c>
      <c r="AD137" s="88">
        <v>0</v>
      </c>
      <c r="AE137" s="88">
        <v>0</v>
      </c>
      <c r="AF137" s="88">
        <v>0</v>
      </c>
      <c r="AG137" s="88">
        <v>0</v>
      </c>
    </row>
    <row r="138" spans="1:33" ht="15" customHeight="1" x14ac:dyDescent="0.35">
      <c r="A138" s="31" t="s">
        <v>186</v>
      </c>
      <c r="B138" s="37">
        <f t="shared" ref="B138:K138" si="30">B107*B107</f>
        <v>6.9224373657631988</v>
      </c>
      <c r="C138" s="37">
        <f t="shared" si="30"/>
        <v>2.3583835759035652</v>
      </c>
      <c r="D138" s="37">
        <f t="shared" si="30"/>
        <v>1.8310891434332579</v>
      </c>
      <c r="E138" s="37">
        <f t="shared" si="30"/>
        <v>6.9224373657631988</v>
      </c>
      <c r="F138" s="37">
        <f t="shared" si="30"/>
        <v>2.3583835759035652</v>
      </c>
      <c r="G138" s="37">
        <f t="shared" si="30"/>
        <v>1.8310891434332579</v>
      </c>
      <c r="H138" s="37">
        <f t="shared" si="30"/>
        <v>2.3583835759035652</v>
      </c>
      <c r="I138" s="37">
        <f t="shared" si="30"/>
        <v>1.8310891434332579</v>
      </c>
      <c r="J138" s="37">
        <f t="shared" si="30"/>
        <v>2.3583835759035652</v>
      </c>
      <c r="K138" s="37">
        <f t="shared" si="30"/>
        <v>1.8310891434332579</v>
      </c>
      <c r="L138" s="29"/>
      <c r="M138" s="31" t="s">
        <v>186</v>
      </c>
      <c r="N138" s="88">
        <v>0</v>
      </c>
      <c r="O138" s="86">
        <v>0</v>
      </c>
      <c r="P138" s="88">
        <v>0</v>
      </c>
      <c r="Q138" s="88">
        <v>0</v>
      </c>
      <c r="R138" s="88">
        <v>0</v>
      </c>
      <c r="S138" s="88">
        <v>0</v>
      </c>
      <c r="T138" s="86"/>
      <c r="U138" s="86">
        <v>0</v>
      </c>
      <c r="V138" s="86">
        <v>0</v>
      </c>
      <c r="W138" s="88">
        <v>0</v>
      </c>
      <c r="X138" s="88">
        <v>0</v>
      </c>
      <c r="Y138" s="88">
        <v>0</v>
      </c>
      <c r="Z138" s="88">
        <v>0</v>
      </c>
      <c r="AA138" s="86"/>
      <c r="AB138" s="86">
        <v>0</v>
      </c>
      <c r="AC138" s="86">
        <v>0</v>
      </c>
      <c r="AD138" s="88">
        <v>0</v>
      </c>
      <c r="AE138" s="88">
        <v>0</v>
      </c>
      <c r="AF138" s="88">
        <v>0</v>
      </c>
      <c r="AG138" s="88">
        <v>0</v>
      </c>
    </row>
    <row r="139" spans="1:33" ht="15" customHeight="1" x14ac:dyDescent="0.35">
      <c r="L139" s="89"/>
      <c r="M139" s="89"/>
      <c r="N139" s="89"/>
      <c r="O139" s="89"/>
      <c r="P139" s="89"/>
      <c r="Q139" s="89"/>
      <c r="S139" s="89"/>
      <c r="T139" s="89"/>
      <c r="U139" s="89"/>
      <c r="V139" s="89"/>
      <c r="W139" s="89"/>
      <c r="X139" s="89"/>
      <c r="Z139" s="89"/>
      <c r="AA139" s="89"/>
      <c r="AB139" s="89"/>
      <c r="AC139" s="89"/>
      <c r="AD139" s="89"/>
      <c r="AE139" s="89"/>
    </row>
    <row r="140" spans="1:33" ht="15" customHeight="1" x14ac:dyDescent="0.35">
      <c r="L140" s="89"/>
      <c r="M140" s="89"/>
      <c r="N140" s="89"/>
      <c r="O140" s="89"/>
      <c r="P140" s="89"/>
      <c r="Q140" s="89"/>
      <c r="S140" s="89"/>
      <c r="T140" s="89"/>
      <c r="U140" s="89"/>
      <c r="V140" s="89"/>
      <c r="W140" s="89"/>
      <c r="X140" s="89"/>
      <c r="Z140" s="89"/>
      <c r="AA140" s="89"/>
      <c r="AB140" s="89"/>
      <c r="AC140" s="89"/>
      <c r="AD140" s="89"/>
      <c r="AE140" s="89"/>
    </row>
    <row r="142" spans="1:33" ht="15" customHeight="1" x14ac:dyDescent="0.35">
      <c r="K142" s="31" t="s">
        <v>104</v>
      </c>
    </row>
    <row r="143" spans="1:33" ht="15" customHeight="1" x14ac:dyDescent="0.35">
      <c r="L143" s="31" t="s">
        <v>105</v>
      </c>
    </row>
    <row r="144" spans="1:33" ht="15" customHeight="1" x14ac:dyDescent="0.35">
      <c r="L144" s="31" t="s">
        <v>58</v>
      </c>
      <c r="M144" s="31" t="s">
        <v>58</v>
      </c>
      <c r="N144" s="31" t="s">
        <v>58</v>
      </c>
      <c r="O144" s="31" t="s">
        <v>58</v>
      </c>
      <c r="P144" s="31" t="s">
        <v>58</v>
      </c>
      <c r="Q144" s="31" t="s">
        <v>58</v>
      </c>
      <c r="R144" s="31" t="s">
        <v>58</v>
      </c>
      <c r="S144" s="31" t="s">
        <v>59</v>
      </c>
      <c r="T144" s="31" t="s">
        <v>59</v>
      </c>
      <c r="U144" s="31" t="s">
        <v>59</v>
      </c>
      <c r="V144" s="31" t="s">
        <v>59</v>
      </c>
      <c r="W144" s="31" t="s">
        <v>59</v>
      </c>
      <c r="X144" s="31" t="s">
        <v>59</v>
      </c>
      <c r="Y144" s="31" t="s">
        <v>59</v>
      </c>
      <c r="Z144" s="31" t="s">
        <v>60</v>
      </c>
      <c r="AA144" s="31" t="s">
        <v>60</v>
      </c>
      <c r="AB144" s="31" t="s">
        <v>60</v>
      </c>
      <c r="AC144" s="31" t="s">
        <v>60</v>
      </c>
      <c r="AD144" s="31" t="s">
        <v>60</v>
      </c>
      <c r="AE144" s="31" t="s">
        <v>60</v>
      </c>
      <c r="AF144" s="31" t="s">
        <v>60</v>
      </c>
    </row>
    <row r="145" spans="10:32" ht="15" customHeight="1" x14ac:dyDescent="0.35">
      <c r="R145" s="31" t="s">
        <v>106</v>
      </c>
      <c r="Y145" s="31" t="s">
        <v>106</v>
      </c>
      <c r="AF145" s="31" t="s">
        <v>106</v>
      </c>
    </row>
    <row r="146" spans="10:32" ht="15" customHeight="1" x14ac:dyDescent="0.35">
      <c r="L146" s="31" t="s">
        <v>29</v>
      </c>
      <c r="M146" s="31" t="s">
        <v>39</v>
      </c>
      <c r="N146" s="31" t="s">
        <v>22</v>
      </c>
      <c r="O146" s="31" t="s">
        <v>64</v>
      </c>
      <c r="P146" s="31" t="s">
        <v>67</v>
      </c>
      <c r="Q146" s="31" t="s">
        <v>69</v>
      </c>
      <c r="R146" s="31" t="s">
        <v>107</v>
      </c>
      <c r="S146" s="31" t="s">
        <v>29</v>
      </c>
      <c r="T146" s="31" t="s">
        <v>39</v>
      </c>
      <c r="U146" s="31" t="s">
        <v>22</v>
      </c>
      <c r="V146" s="31" t="s">
        <v>64</v>
      </c>
      <c r="W146" s="31" t="s">
        <v>67</v>
      </c>
      <c r="X146" s="31" t="s">
        <v>69</v>
      </c>
      <c r="Y146" s="31" t="s">
        <v>107</v>
      </c>
      <c r="Z146" s="31" t="s">
        <v>29</v>
      </c>
      <c r="AA146" s="31" t="s">
        <v>39</v>
      </c>
      <c r="AB146" s="31" t="s">
        <v>22</v>
      </c>
      <c r="AC146" s="31" t="s">
        <v>64</v>
      </c>
      <c r="AD146" s="31" t="s">
        <v>67</v>
      </c>
      <c r="AE146" s="31" t="s">
        <v>69</v>
      </c>
      <c r="AF146" s="31" t="s">
        <v>107</v>
      </c>
    </row>
    <row r="147" spans="10:32" ht="15" customHeight="1" x14ac:dyDescent="0.35">
      <c r="J147" s="31" t="s">
        <v>108</v>
      </c>
      <c r="L147" s="31">
        <f>(N106+$B107*N107+$B108*N108+$B109*N109+$B110*N110+$B111*N111+$B112*N112+$B113*N113+$B114*N114+$B115*N115+$B116*N116+$B117*N117+$B118*N118+$B119*N119+$B120*N120+$B121*N121+$B122*N122+$B123*N123+$B124*N124+$B125*N125+$B126*N126+$B127*N127+$B128*N128+$B129*N129+$B130*N130+$B131*N131+$B132*N132+$B133*N133+$B134*N134+$B135*N135+$B136*N136+$B137*N137+$B138*N138)</f>
        <v>-0.16455813729202762</v>
      </c>
      <c r="M147" s="31">
        <f>(O106+$B107*O107+$B108*O108+$B109*O109+$B110*O110+$B111*O111+$B112*O112+$B113*O113+$B114*O114+$B115*O115+$B116*O116+$B117*O117+$B118*O118+$B119*O119+$B120*O120+$B121*O121+$B122*O122+$B123*O123+$B124*O124+$B125*O125+$B126*O126+$B127*O127+$B128*O128+$B129*O129+$B130*O130+$B131*O131+$B132*O132+$B133*O133+$B134*O134+$B135*O135+$B136*O136+$B137*O137+$B138*O138)</f>
        <v>-0.81668646907796916</v>
      </c>
      <c r="N147" s="31">
        <f>(P106+$B107*P107+$B108*P108+$B109*P109+$B110*P110+$B111*P111+$B112*P112+$B113*P113+$B114*P114+$B115*P115+$B116*P116+$B117*P117+$B118*P118+$B119*P119+$B120*P120+$B121*P121+$B122*P122+$B123*P123+$B124*P124+$B125*P125+$B126*P126+$B127*P127+$B128*P128+$B129*P129+$B130*P130+$B131*P131+$B132*P132+$B133*P133+$B134*P134+$B135*P135+$B136*P136+$B137*P137+$B138*P138)</f>
        <v>2.6392060334346277</v>
      </c>
      <c r="O147" s="31">
        <f>(Q106+$B107*Q107+$B108*Q108+$B109*Q109+$B110*Q110+$B111*Q111+$B112*Q112+$B113*Q113+$B114*Q114+$B115*Q115+$B116*Q116+$B117*Q117+$B118*Q118+$B119*Q119+$B120*Q120+$B121*Q121+$B122*Q122+$B123*Q123+$B124*Q124+$B125*Q125+$B126*Q126+$B127*Q127+$B128*Q128+$B129*Q129+$B130*Q130+$B131*Q131+$B132*Q132+$B133*Q133+$B134*Q134+$B135*Q135+$B136*Q136+$B137*Q137+$B138*Q138)</f>
        <v>0.63066518915877623</v>
      </c>
      <c r="P147" s="31">
        <f>(R106+$B107*R107+$B108*R108+$B109*R109+$B110*R110+$B111*R111+$B112*R112+$B114*R114+$B115*R115+$B116*R116+$B117*R117+$B118*R118+$B119*R119+$B120*R120+$B121*R121+$B122*R122+$B123*R123+$B124*R124+$B125*R125+$B126*R126+$B127*R127+$B128*R128+$B129*R129+$B130*R130+$B131*R131+$B132*R132+$B133*R133+$B134*R134+$B135*R135+$B136*R136+$B137*R137+$B138*R138)</f>
        <v>2.4802238631387876</v>
      </c>
      <c r="Q147" s="31">
        <f>(S106+$B107*S107+$B108*S108+$B109*S109+$B110*S110+$B111*S111+$B112*S112+$B114*S114+$B115*S115+$B116*S116+$B117*S117+$B118*S118+$B119*S119+$B120*S120+$B121*S121+$B122*S122+$B123*S123+$B124*S124+$B125*S125+$B126*S126+$B127*S127+$B128*S128+$B129*S129+$B130*S130+$B131*S131+$B132*S132+$B133*S133+$B134*S134+$B135*S135+$B136*S136+$B137*S137+$B138*S138)</f>
        <v>1.1576802670462469</v>
      </c>
      <c r="S147" s="90">
        <f>(U106+$C107*U107+$C108*U108+$C109*U109+$C110*U110+$C111*U111+$C112*U112+$C113*U113+$C114*U114+$C115*U115+$C116*U116+$C117*U117+$C118*U118+$C119*U119+$C120*U120+$C121*U121+$C122*U122+$C123*U123+$C124*U124+$C125*U125+$C126*U126+$C127*U127+$C128*U128+$C129*U129+$C130*U130+$C131*U131+$C132*U132+$C133*U133+$C134*U134+$C135*U135+$C136*U136+$C137*U137+$C138*U138)</f>
        <v>-0.68617463032333326</v>
      </c>
      <c r="T147" s="90">
        <f>(V106+$C107*V107+$C108*V108+$C109*V109+$C110*V110+$C111*V111+$C112*V112+$C113*V113+$C114*V114+$C115*V115+$C116*V116+$C117*V117+$C118*V118+$C119*V119+$C120*V120+$C121*V121+$C122*V122+$C123*V123+$C124*V124+$C125*V125+$C126*V126+$C127*V127+$C128*V128+$C129*V129+$C130*V130+$C131*V131+$C132*V132+$C133*V133+$C134*V134+$C135*V135+$C136*V136+$C137*V137+$C138*V138)</f>
        <v>-1.2314408271442154</v>
      </c>
      <c r="U147" s="90">
        <f>(W106+$C107*W107+$C108*W108+$C109*W109+$C110*W110+$C111*W111+$C112*W112+$C113*W113+$C114*W114+$C115*W115+$C116*W116+$C117*W117+$C118*W118+$C119*W119+$C120*W120+$C121*W121+$C122*W122+$C123*W123+$C124*W124+$C125*W125+$C126*W126+$C127*W127+$C128*W128+$C129*W129+$C130*W130+$C131*W131+$C132*W132+$C133*W133+$C134*W134+$C135*W135+$C136*W136+$C137*W137+$C138*W138)</f>
        <v>2.1649651668540386</v>
      </c>
      <c r="V147" s="90">
        <f>(X106+$C107*X107+$C108*X108+$C109*X109+$C110*X110+$C111*X111+$C112*X112+$C113*X113+$C114*X114+$C115*X115+$C116*X116+$C117*X117+$C118*X118+$C119*X119+$C120*X120+$C121*X121+$C122*X122+$C123*X123+$C124*X124+$C125*X125+$C126*X126+$C127*X127+$C128*X128+$C129*X129+$C130*X130+$C131*X131+$C132*X132+$C133*X133+$C134*X134+$C135*X135+$C136*X136+$C137*X137+$C138*X138)</f>
        <v>0.39678095694260684</v>
      </c>
      <c r="W147" s="90">
        <f>(Y106+$C107*Y107+$C108*Y108+$C109*Y109+$C110*Y110+$C111*Y111+$C112*Y112+$C114*Y114+$C115*Y115+$C116*Y116+$C117*Y117+$C118*Y118+$C119*Y119+$C120*Y120+$C121*Y121+$C122*Y122+$C123*Y123+$C124*Y124+$C125*Y125+$C126*Y126+$C127*Y127+$C128*Y128+$C129*Y129+$C130*Y130+$C131*Y131+$C132*Y132+$C133*Y133+$C134*Y134+$C135*Y135+$C136*Y136+$C137*Y137+$C138*Y138)</f>
        <v>1.1243059701367775</v>
      </c>
      <c r="X147" s="90">
        <f>(Z106+$C107*Z107+$C108*Z108+$C109*Z109+$C110*Z110+$C111*Z111+$C112*Z112+$C114*Z114+$C115*Z115+$C116*Z116+$C117*Z117+$C118*Z118+$C119*Z119+$C120*Z120+$C121*Z121+$C122*Z122+$C123*Z123+$C124*Z124+$C125*Z125+$C126*Z126+$C127*Z127+$C128*Z128+$C129*Z129+$C130*Z130+$C131*Z131+$C132*Z132+$C133*Z133+$C134*Z134+$C135*Z135+$C136*Z136+$C137*Z137+$C138*Z138)</f>
        <v>0.14456161133137713</v>
      </c>
      <c r="Z147" s="90">
        <f>(AB106+$D107*AB107+$D108*AB108+$D109*AB109+$D110*AB110+$D111*AB111+$D112*AB112+$D113*AB113+$D114*AB114+$D115*AB115+$D116*AB116+$D117*AB117+$D118*AB118+$D119*AB119+$D120*AB120+$D121*AB121+$D122*AB122+$D123*AB123+$D124*AB124+$D125*AB125+$D126*AB126+$D127*AB127+$D128*AB128+$D129*AB129+$D130*AB130+$D131*AB131+$D132*AB132+$D133*AB133+$D134*AB134+$D135*AB135+$D136*AB136+$D137*AB137+$D138*AB138)</f>
        <v>-2.4366572905881601</v>
      </c>
      <c r="AA147" s="90">
        <f>(AC106+$D107*AC107+$D108*AC108+$D109*AC109+$D110*AC110+$D111*AC111+$D112*AC112+$D113*AC113+$D114*AC114+$D115*AC115+$D116*AC116+$D117*AC117+$D118*AC118+$D119*AC119+$D120*AC120+$D121*AC121+$D122*AC122+$D123*AC123+$D124*AC124+$D125*AC125+$D126*AC126+$D127*AC127+$D128*AC128+$D129*AC129+$D130*AC130+$D131*AC131+$D132*AC132+$D133*AC133+$D134*AC134+$D135*AC135+$D136*AC136+$D137*AC137+$D138*AC138)</f>
        <v>-2.8780625734727687</v>
      </c>
      <c r="AB147" s="90">
        <f>(AD106+$D107*AD107+$D108*AD108+$D109*AD109+$D110*AD110+$D111*AD111+$D112*AD112+$D113*AD113+$D114*AD114+$D115*AD115+$D116*AD116+$D117*AD117+$D118*AD118+$D119*AD119+$D120*AD120+$D121*AD121+$D122*AD122+$D123*AD123+$D124*AD124+$D125*AD125+$D126*AD126+$D127*AD127+$D128*AD128+$D129*AD129+$D130*AD130+$D131*AD131+$D132*AD132+$D133*AD133+$D134*AD134+$D135*AD135+$D136*AD136+$D137*AD137+$D138*AD138)</f>
        <v>2.1927219005497989</v>
      </c>
      <c r="AC147" s="90">
        <f>(AE106+$D107*AE107+$D108*AE108+$D109*AE109+$D110*AE110+$D111*AE111+$D112*AE112+$D113*AE113+$D114*AE114+$D115*AE115+$D116*AE116+$D117*AE117+$D118*AE118+$D119*AE119+$D120*AE120+$D121*AE121+$D122*AE122+$D123*AE123+$D124*AE124+$D125*AE125+$D126*AE126+$D127*AE127+$D128*AE128+$D129*AE129+$D130*AE130+$D131*AE131+$D132*AE132+$D133*AE133+$D134*AE134+$D135*AE135+$D136*AE136+$D137*AE137+$D138*AE138)</f>
        <v>0.40679629385780702</v>
      </c>
      <c r="AD147" s="90">
        <f>(AF106+$D107*AF107+$D108*AF108+$D109*AF109+$D110*AF110+$D111*AF111+$D112*AF112+$D114*AF114+$D115*AF115+$D116*AF116+$D117*AF117+$D118*AF118+$D119*AF119+$D120*AF120+$D121*AF121+$D122*AF122+$D123*AF123+$D124*AF124+$D125*AF125+$D126*AF126+$D127*AF127+$D128*AF128+$D129*AF129+$D130*AF130+$D131*AF131+$D132*AF132+$D133*AF133+$D134*AF134+$D135*AF135+$D136*AF136+$D137*AF137+$D138*AF138)</f>
        <v>1.1189425009515408</v>
      </c>
      <c r="AE147" s="90">
        <f>(AG106+$D107*AG107+$D108*AG108+$D109*AG109+$D110*AG110+$D111*AG111+$D112*AG112+$D114*AG114+$D115*AG115+$D116*AG116+$D117*AG117+$D118*AG118+$D119*AG119+$D120*AG120+$D121*AG121+$D122*AG122+$D123*AG123+$D124*AG124+$D125*AG125+$D126*AG126+$D127*AG127+$D128*AG128+$D129*AG129+$D130*AG130+$D131*AG131+$D132*AG132+$D133*AG133+$D134*AG134+$D135*AG135+$D136*AG136+$D137*AG137+$D138*AG138)</f>
        <v>0.14931959701389275</v>
      </c>
    </row>
    <row r="148" spans="10:32" ht="15" customHeight="1" x14ac:dyDescent="0.35">
      <c r="J148" s="31" t="s">
        <v>109</v>
      </c>
      <c r="L148" s="31">
        <f t="shared" ref="L148:Q148" si="31">EXP(L147)</f>
        <v>0.84826843948077757</v>
      </c>
      <c r="M148" s="31">
        <f t="shared" si="31"/>
        <v>0.44189345894185783</v>
      </c>
      <c r="N148" s="31">
        <f t="shared" si="31"/>
        <v>14.002082008268621</v>
      </c>
      <c r="O148" s="31">
        <f t="shared" si="31"/>
        <v>1.8788599609575836</v>
      </c>
      <c r="P148" s="31">
        <f t="shared" si="31"/>
        <v>11.943937926021576</v>
      </c>
      <c r="Q148" s="31">
        <f t="shared" si="31"/>
        <v>3.1825420589148035</v>
      </c>
      <c r="R148" s="31">
        <f>($T$81*N148+$T$82*O148+$T$83*P148+$T$84*Q148)</f>
        <v>4.7281724027166421</v>
      </c>
      <c r="S148" s="31">
        <f t="shared" ref="S148:X148" si="32">EXP(S147)</f>
        <v>0.50349845753020672</v>
      </c>
      <c r="T148" s="31">
        <f t="shared" si="32"/>
        <v>0.29187173785241288</v>
      </c>
      <c r="U148" s="31">
        <f t="shared" si="32"/>
        <v>8.7142983651375374</v>
      </c>
      <c r="V148" s="31">
        <f t="shared" si="32"/>
        <v>1.4870301707399167</v>
      </c>
      <c r="W148" s="31">
        <f t="shared" si="32"/>
        <v>3.0780798281035922</v>
      </c>
      <c r="X148" s="31">
        <f t="shared" si="32"/>
        <v>1.1555328866902208</v>
      </c>
      <c r="Y148" s="31">
        <f>($T$81*U148+$T$82*V148+$T$83*W148+$T$84*X148)</f>
        <v>3.0946822129839675</v>
      </c>
      <c r="Z148" s="31">
        <f t="shared" ref="Z148:AE148" si="33">EXP(Z147)</f>
        <v>8.7452692358417558E-2</v>
      </c>
      <c r="AA148" s="31">
        <f t="shared" si="33"/>
        <v>5.624362523514783E-2</v>
      </c>
      <c r="AB148" s="31">
        <f t="shared" si="33"/>
        <v>8.9595670055867416</v>
      </c>
      <c r="AC148" s="31">
        <f t="shared" si="33"/>
        <v>1.501998108256019</v>
      </c>
      <c r="AD148" s="31">
        <f t="shared" si="33"/>
        <v>3.0616148360051487</v>
      </c>
      <c r="AE148" s="31">
        <f t="shared" si="33"/>
        <v>1.1610439961137342</v>
      </c>
      <c r="AF148" s="31">
        <f>($T$81*AB148+$T$82*AC148+$T$83*AD148+$T$84*AE148)</f>
        <v>3.150857722403765</v>
      </c>
    </row>
    <row r="150" spans="10:32" ht="15" customHeight="1" x14ac:dyDescent="0.35">
      <c r="L150" s="31" t="s">
        <v>110</v>
      </c>
    </row>
    <row r="151" spans="10:32" ht="15" customHeight="1" x14ac:dyDescent="0.35">
      <c r="L151" s="31" t="s">
        <v>58</v>
      </c>
      <c r="M151" s="31" t="s">
        <v>58</v>
      </c>
      <c r="N151" s="31" t="s">
        <v>58</v>
      </c>
      <c r="O151" s="31" t="s">
        <v>58</v>
      </c>
      <c r="P151" s="31" t="s">
        <v>58</v>
      </c>
      <c r="Q151" s="31" t="s">
        <v>58</v>
      </c>
      <c r="R151" s="31" t="s">
        <v>58</v>
      </c>
      <c r="S151" s="31" t="s">
        <v>59</v>
      </c>
      <c r="T151" s="31" t="s">
        <v>59</v>
      </c>
      <c r="U151" s="31" t="s">
        <v>59</v>
      </c>
      <c r="V151" s="31" t="s">
        <v>59</v>
      </c>
      <c r="W151" s="31" t="s">
        <v>59</v>
      </c>
      <c r="X151" s="31" t="s">
        <v>59</v>
      </c>
      <c r="Y151" s="31" t="s">
        <v>59</v>
      </c>
      <c r="Z151" s="31" t="s">
        <v>60</v>
      </c>
      <c r="AA151" s="31" t="s">
        <v>60</v>
      </c>
      <c r="AB151" s="31" t="s">
        <v>60</v>
      </c>
      <c r="AC151" s="31" t="s">
        <v>60</v>
      </c>
      <c r="AD151" s="31" t="s">
        <v>60</v>
      </c>
      <c r="AE151" s="31" t="s">
        <v>60</v>
      </c>
      <c r="AF151" s="31" t="s">
        <v>60</v>
      </c>
    </row>
    <row r="152" spans="10:32" ht="15" customHeight="1" x14ac:dyDescent="0.35">
      <c r="R152" s="31" t="s">
        <v>106</v>
      </c>
      <c r="Y152" s="31" t="s">
        <v>106</v>
      </c>
      <c r="AF152" s="31" t="s">
        <v>106</v>
      </c>
    </row>
    <row r="153" spans="10:32" ht="15" customHeight="1" x14ac:dyDescent="0.35">
      <c r="L153" s="31" t="s">
        <v>29</v>
      </c>
      <c r="M153" s="31" t="s">
        <v>39</v>
      </c>
      <c r="N153" s="31" t="s">
        <v>22</v>
      </c>
      <c r="O153" s="31" t="s">
        <v>64</v>
      </c>
      <c r="P153" s="31" t="s">
        <v>67</v>
      </c>
      <c r="Q153" s="31" t="s">
        <v>69</v>
      </c>
      <c r="R153" s="31" t="s">
        <v>107</v>
      </c>
      <c r="S153" s="31" t="s">
        <v>29</v>
      </c>
      <c r="T153" s="31" t="s">
        <v>39</v>
      </c>
      <c r="U153" s="31" t="s">
        <v>22</v>
      </c>
      <c r="V153" s="31" t="s">
        <v>64</v>
      </c>
      <c r="W153" s="31" t="s">
        <v>67</v>
      </c>
      <c r="X153" s="31" t="s">
        <v>69</v>
      </c>
      <c r="Y153" s="31" t="s">
        <v>107</v>
      </c>
      <c r="Z153" s="31" t="s">
        <v>29</v>
      </c>
      <c r="AA153" s="31" t="s">
        <v>39</v>
      </c>
      <c r="AB153" s="31" t="s">
        <v>22</v>
      </c>
      <c r="AC153" s="31" t="s">
        <v>64</v>
      </c>
      <c r="AD153" s="31" t="s">
        <v>67</v>
      </c>
      <c r="AE153" s="31" t="s">
        <v>69</v>
      </c>
      <c r="AF153" s="31" t="s">
        <v>107</v>
      </c>
    </row>
    <row r="154" spans="10:32" ht="15" customHeight="1" x14ac:dyDescent="0.35">
      <c r="J154" s="31" t="s">
        <v>108</v>
      </c>
      <c r="L154" s="31">
        <f t="shared" ref="L154:Q154" si="34">(N106+$E107*N107+$E108*N108+$E109*N109+$E110*N110+$E111*N111+$E112*N112+$E113*N113+$E114*N114+$E115*N115+$E116*N116+$E117*N117+$E118*N118+$E119*N119+$E120*N120+$E121*N121+$E122*N122+$E123*N123+$E124*N124+$E125*N125+$E126*N126+$E127*N127+$E128*N128+$E129*N129+$E130*N130+$E131*N131+$E132*N132+$E133*N133+$E134*N134+$E135*N135+$E136*N136+$E137*N137+$E138*N138)</f>
        <v>-0.26201233733018875</v>
      </c>
      <c r="M154" s="31">
        <f t="shared" si="34"/>
        <v>-0.54281954632512397</v>
      </c>
      <c r="N154" s="31">
        <f t="shared" si="34"/>
        <v>2.0568261900022304</v>
      </c>
      <c r="O154" s="31">
        <f t="shared" si="34"/>
        <v>-1.1024397865374329</v>
      </c>
      <c r="P154" s="31">
        <f t="shared" si="34"/>
        <v>2.720440364924507</v>
      </c>
      <c r="Q154" s="31">
        <f t="shared" si="34"/>
        <v>1.4211629527766161</v>
      </c>
      <c r="S154" s="90">
        <f>(U106+$F107*U107+$F108*U108+$F109*U109+$F110*U110+$F111*U111+$F112*U112+$F113*U113+$F114*U114+$F115*U115+$F116*U116+$F117*U117+$F118*U118+$F119*U119+$F120*U120+$F121*U121+$F122*U122+$F123*U123+$F124*U124+$F125*U125+$F126*U126+$F127*U127+$F128*U128+$F129*U129+$F130*U130+$F131*U131+$F132*U132+$F133*U133+$F134*U134+$F135*U135+$F136*U136+$F137*U137+$F138*U138)</f>
        <v>-8.0959133058248228E-2</v>
      </c>
      <c r="T154" s="90">
        <f>(V106+$H107*V107+$H108*V108+$H109*V109+$H110*V110+$H111*V111+$H112*V112+$H113*V113+$H114*V114+$H115*V115+$H116*V116+$H117*V117+$H118*V118+$H119*V119+$H120*V120+$H121*V121+$H122*V122+$H123*V123+$H124*V124+$H125*V125+$H126*V126+$H127*V127+$H128*V128+$H129*V129+$H130*V130+$H131*V131+$H132*V132+$H133*V133+$H134*V134+$H135*V135+$H136*V136+$H137*V137+$H138*V138)</f>
        <v>-2.5556514932422818</v>
      </c>
      <c r="U154" s="31">
        <f>W106+$J107*W107+$J108*W108+$J109*W109+$J110*W110+$J111*W111+$J112*W112+$J113*W113+$J114*W114+$J115*W115+$J116*W116+$J117*W117+$J118*W118+$J119*W119+$J120*W120+$J121*W121+$J122*W122+$J123*W123+$J124*W124+$J125*W125+$J126*W126+$J127*W127+$J128*W128+$J129*W129+$J130*W130+$J131*W131+$J132*W132+$J133*W133+$J134*W134+$J135*W135+$J136*W136+$J137*W137+$J138*W138</f>
        <v>0.87178864896329433</v>
      </c>
      <c r="V154" s="31">
        <f>X106+$J107*X107+$J108*X108+$J109*X109+$J110*X110+$J111*X111+$J112*X112+$J113*X113+$J114*X114+$J115*X115+$J116*X116+$J117*X117+$J118*X118+$J119*X119+$J120*X120+$J121*X121+$J122*X122+$J123*X123+$J124*X124+$J125*X125+$J126*X126+$J127*X127+$J128*X128+$J129*X129+$J130*X130+$J131*X131+$J132*X132+$J133*X133+$J134*X134+$J135*X135+$J136*X136+$J137*X137+$J138*X138</f>
        <v>-1.45707474442121</v>
      </c>
      <c r="W154" s="31">
        <f>Y106+$J107*Y107+$J108*Y108+$J109*Y109+$J110*Y110+$J111*Y111+$J112*Y112+$J113*Y113+$J114*Y114+$J115*Y115+$J116*Y116+$J117*Y117+$J118*Y118+$J119*Y119+$J120*Y120+$J121*Y121+$J122*Y122+$J123*Y123+$J124*Y124+$J125*Y125+$J126*Y126+$J127*Y127+$J128*Y128+$J129*Y129+$J130*Y130+$J131*Y131+$J132*Y132+$J133*Y133+$J134*Y134+$J135*Y135+$J136*Y136+$J137*Y137+$J138*Y138</f>
        <v>0.34362345042102305</v>
      </c>
      <c r="X154" s="31">
        <f>Z106+$J107*Z107+$J108*Z108+$J109*Z109+$J110*Z110+$J111*Z111+$J112*Z112+$J113*Z113+$J114*Z114+$J115*Z115+$J116*Z116+$J117*Z117+$J118*Z118+$J119*Z119+$J120*Z120+$J121*Z121+$J122*Z122+$J123*Z123+$J124*Z124+$J125*Z125+$J126*Z126+$J127*Z127+$J128*Z128+$J129*Z129+$J130*Z130+$J131*Z131+$J132*Z132+$J133*Z133+$J134*Z134+$J135*Z135+$J136*Z136+$J137*Z137+$J138*Z138</f>
        <v>-1.2327341739231086</v>
      </c>
      <c r="Z154" s="31">
        <f>AB106+$G107*AB107+$G108*AB108+$G109*AB109+$G110*AB110+$G111*AB111+$G112*AB112+$G113*AB113+$G114*AB114+$G115*AB115+$G116*AB116+$G117*AB117+$G118*AB118+$G119*AB119+$G120*AB120+$G121*AB121+$G122*AB122+$G123*AB123+$G124*AB124+$G125*AB125+$G126*AB126+$G127*AB127+$G128*AB128+$G129*AB129+$G130*AB130+$G131*AB131+$G132*AB132+$G133*AB133+$G134*AB134+$G135*AB135+$G136*AB136+$G137*AB137+$G138*AB138</f>
        <v>-2.6487053594727654</v>
      </c>
      <c r="AA154" s="31">
        <f>AC106+$I107*AC107+$I108*AC108+$I109*AC109+$I110*AC110+$I111*AC111+$I112*AC112+$I113*AC113+$I114*AC114+$I115*AC115+$I116*AC116+$I117*AC117+$I118*AC118+$I119*AC119+$I120*AC120+$I121*AC121+$I122*AC122+$I123*AC123+$I124*AC124+$I125*AC125+$I126*AC126+$I127*AC127+$I128*AC128+$I129*AC129+$I130*AC130+$I131*AC131+$I132*AC132+$I133*AC133+$I134*AC134+$I135*AC135+$I136*AC136+$I137*AC137+$I138*AC138</f>
        <v>-4.1140175023285401</v>
      </c>
      <c r="AB154" s="31">
        <f>AD106+$K107*AD107+$K108*AD108+$K109*AD109+$K110*AD110+$K111*AD111+$K112*AD112+$K113*AD113+$K114*AD114+$K115*AD115+$K116*AD116+$K117*AD117+$K118*AD118+$K119*AD119+$K120*AD120+$K121*AD121+$K122*AD122+$K123*AD123+$K124*AD124+$K125*AD125+$K126*AD126+$K127*AD127+$K128*AD128+$K129*AD129+$K130*AD130+$K131*AD131+$K132*AD132+$K133*AD133+$K134*AD134+$K135*AD135+$K136*AD136+$K137*AD137+$K138*AD138</f>
        <v>0.84097720351595284</v>
      </c>
      <c r="AC154" s="31">
        <f>AE106+$K107*AE107+$K108*AE108+$K109*AE109+$K110*AE110+$K111*AE111+$K112*AE112+$K113*AE113+$K114*AE114+$K115*AE115+$K116*AE116+$K117*AE117+$K118*AE118+$K119*AE119+$K120*AE120+$K121*AE121+$K122*AE122+$K123*AE123+$K124*AE124+$K125*AE125+$K126*AE126+$K127*AE127+$K128*AE128+$K129*AE129+$K130*AE130+$K131*AE131+$K132*AE132+$K133*AE133+$K134*AE134+$K135*AE135+$K136*AE136+$K137*AE137+$K138*AE138</f>
        <v>-1.34665063896825</v>
      </c>
      <c r="AD154" s="31">
        <f>AF106+$K107*AF107+$K108*AF108+$K109*AF109+$K110*AF110+$K111*AF111+$K112*AF112+$K113*AF113+$K114*AF114+$K115*AF115+$K116*AF116+$K117*AF117+$K118*AF118+$K119*AF119+$K120*AF120+$K121*AF121+$K122*AF122+$K123*AF123+$K124*AF124+$K125*AF125+$K126*AF126+$K127*AF127+$K128*AF128+$K129*AF129+$K130*AF130+$K131*AF131+$K132*AF132+$K133*AF133+$K134*AF134+$K135*AF135+$K136*AF136+$K137*AF137+$K138*AF138</f>
        <v>0.42919033791642996</v>
      </c>
      <c r="AE154" s="31">
        <f>AG106+$K107*AG107+$K108*AG108+$K109*AG109+$K110*AG110+$K111*AG111+$K112*AG112+$K113*AG113+$K114*AG114+$K115*AG115+$K116*AG116+$K117*AG117+$K118*AG118+$K119*AG119+$K120*AG120+$K121*AG121+$K122*AG122+$K123*AG123+$K124*AG124+$K125*AG125+$K126*AG126+$K127*AG127+$K128*AG128+$K129*AG129+$K130*AG130+$K131*AG131+$K132*AG132+$K133*AG133+$K134*AG134+$K135*AG135+$K136*AG136+$K137*AG137+$K138*AG138</f>
        <v>-1.1641645110650809</v>
      </c>
    </row>
    <row r="155" spans="10:32" ht="15" customHeight="1" x14ac:dyDescent="0.35">
      <c r="J155" s="31" t="s">
        <v>109</v>
      </c>
      <c r="L155" s="31">
        <f t="shared" ref="L155:Q155" si="35">EXP(L154)</f>
        <v>0.76950153005455568</v>
      </c>
      <c r="M155" s="31">
        <f t="shared" si="35"/>
        <v>0.58110748088313913</v>
      </c>
      <c r="N155" s="31">
        <f t="shared" si="35"/>
        <v>7.8211076676206304</v>
      </c>
      <c r="O155" s="31">
        <f t="shared" si="35"/>
        <v>0.33205993922142468</v>
      </c>
      <c r="P155" s="31">
        <f t="shared" si="35"/>
        <v>15.187008598523027</v>
      </c>
      <c r="Q155" s="31">
        <f t="shared" si="35"/>
        <v>4.1419345146826219</v>
      </c>
      <c r="R155" s="31">
        <f>($T$81*N155+$T$82*O155+$T$83*P155+$T$84*Q155)</f>
        <v>2.25946449590016</v>
      </c>
      <c r="S155" s="31">
        <f t="shared" ref="S155:X155" si="36">EXP(S154)</f>
        <v>0.92223137945057176</v>
      </c>
      <c r="T155" s="31">
        <f t="shared" si="36"/>
        <v>7.7641632587532025E-2</v>
      </c>
      <c r="U155" s="31">
        <f t="shared" si="36"/>
        <v>2.3911840196057006</v>
      </c>
      <c r="V155" s="31">
        <f t="shared" si="36"/>
        <v>0.23291661979445799</v>
      </c>
      <c r="W155" s="31">
        <f t="shared" si="36"/>
        <v>1.4100475827064933</v>
      </c>
      <c r="X155" s="31">
        <f t="shared" si="36"/>
        <v>0.29149449048882942</v>
      </c>
      <c r="Y155" s="31">
        <f>($T$81*U155+$T$82*V155+$T$83*W155+$T$84*X155)</f>
        <v>0.69343348036997565</v>
      </c>
      <c r="Z155" s="31">
        <f t="shared" ref="Z155:AE155" si="37">EXP(Z154)</f>
        <v>7.074274021875615E-2</v>
      </c>
      <c r="AA155" s="31">
        <f t="shared" si="37"/>
        <v>1.6341988490187701E-2</v>
      </c>
      <c r="AB155" s="31">
        <f t="shared" si="37"/>
        <v>2.3186316450757332</v>
      </c>
      <c r="AC155" s="31">
        <f t="shared" si="37"/>
        <v>0.26011000560461339</v>
      </c>
      <c r="AD155" s="31">
        <f t="shared" si="37"/>
        <v>1.5360133681594712</v>
      </c>
      <c r="AE155" s="31">
        <f t="shared" si="37"/>
        <v>0.31218337886317316</v>
      </c>
      <c r="AF155" s="31">
        <f>($T$81*AB155+$T$82*AC155+$T$83*AD155+$T$84*AE155)</f>
        <v>0.71303278721488039</v>
      </c>
    </row>
    <row r="157" spans="10:32" ht="15" customHeight="1" x14ac:dyDescent="0.35">
      <c r="J157" s="31" t="s">
        <v>221</v>
      </c>
    </row>
    <row r="159" spans="10:32" ht="15" customHeight="1" x14ac:dyDescent="0.35">
      <c r="J159" s="31" t="s">
        <v>26</v>
      </c>
      <c r="L159" s="31" t="s">
        <v>58</v>
      </c>
      <c r="M159" s="31" t="s">
        <v>59</v>
      </c>
      <c r="N159" s="31" t="s">
        <v>60</v>
      </c>
      <c r="O159" s="31" t="s">
        <v>27</v>
      </c>
    </row>
    <row r="160" spans="10:32" ht="15" customHeight="1" x14ac:dyDescent="0.35">
      <c r="J160" s="31" t="s">
        <v>111</v>
      </c>
      <c r="L160" s="31">
        <f>(L155/L148-1)*100</f>
        <v>-9.28561122401711</v>
      </c>
      <c r="M160" s="31">
        <f>(S155/S148-1)*100</f>
        <v>83.16468812523496</v>
      </c>
      <c r="N160" s="31">
        <f>(Z155/Z148-1)*100</f>
        <v>-19.107418752960815</v>
      </c>
      <c r="O160" s="31">
        <f>(N81*L160+O81*M160+P81*N160)</f>
        <v>14.69403491380872</v>
      </c>
    </row>
    <row r="161" spans="1:15" ht="15" customHeight="1" x14ac:dyDescent="0.35">
      <c r="J161" s="31" t="s">
        <v>112</v>
      </c>
      <c r="L161" s="31">
        <f>(M155/M148-1)*100</f>
        <v>31.503978871884229</v>
      </c>
      <c r="M161" s="31">
        <f>(T155/T148-1)*100</f>
        <v>-73.398715079843697</v>
      </c>
      <c r="N161" s="31">
        <f>(AA155/AA148-1)*100</f>
        <v>-70.944283157666646</v>
      </c>
      <c r="O161" s="31">
        <f>(N82*L161+O82*M161+P82*N161)</f>
        <v>-64.241676197394511</v>
      </c>
    </row>
    <row r="162" spans="1:15" ht="15" customHeight="1" x14ac:dyDescent="0.35">
      <c r="J162" s="31" t="s">
        <v>18</v>
      </c>
      <c r="L162" s="31">
        <f>(N155/N148-1)*100</f>
        <v>-44.143251960658084</v>
      </c>
      <c r="M162" s="31">
        <f>(U155/U148-1)*100</f>
        <v>-72.560223216915759</v>
      </c>
      <c r="N162" s="31">
        <f>(AB155/AB148-1)*100</f>
        <v>-74.121164073777791</v>
      </c>
      <c r="O162" s="31">
        <f>(N$83*L162+O$83*M162+P$83*N162)</f>
        <v>-71.294426731224348</v>
      </c>
    </row>
    <row r="163" spans="1:15" ht="15" customHeight="1" x14ac:dyDescent="0.35">
      <c r="J163" s="31" t="s">
        <v>64</v>
      </c>
      <c r="L163" s="31">
        <f>(O155/O148-1)*100</f>
        <v>-82.326520010986542</v>
      </c>
      <c r="M163" s="31">
        <f>(V155/V148-1)*100</f>
        <v>-84.336792596577695</v>
      </c>
      <c r="N163" s="31">
        <f>(AC155/AC148-1)*100</f>
        <v>-82.682401251048915</v>
      </c>
      <c r="O163" s="31">
        <f>(N$83*L163+O$83*M163+P$83*N163)</f>
        <v>-83.284097635016749</v>
      </c>
    </row>
    <row r="164" spans="1:15" ht="15" customHeight="1" x14ac:dyDescent="0.35">
      <c r="J164" s="31" t="s">
        <v>67</v>
      </c>
      <c r="L164" s="31">
        <f>(P155/P148-1)*100</f>
        <v>27.152440782833921</v>
      </c>
      <c r="M164" s="31">
        <f>(W155/W148-1)*100</f>
        <v>-54.190675308923851</v>
      </c>
      <c r="N164" s="31">
        <f>(AD155/AD148-1)*100</f>
        <v>-49.829960643785952</v>
      </c>
      <c r="O164" s="31">
        <f>(N$83*L164+O$83*M164+P$83*N164)</f>
        <v>-45.748980840020437</v>
      </c>
    </row>
    <row r="165" spans="1:15" ht="15" customHeight="1" x14ac:dyDescent="0.35">
      <c r="J165" s="31" t="s">
        <v>69</v>
      </c>
      <c r="L165" s="31">
        <f>(Q155/Q148-1)*100</f>
        <v>30.145476100792081</v>
      </c>
      <c r="M165" s="31">
        <f>(X155/X148-1)*100</f>
        <v>-74.77402038086916</v>
      </c>
      <c r="N165" s="31">
        <f>(AE155/AE148-1)*100</f>
        <v>-73.111839007986035</v>
      </c>
      <c r="O165" s="31">
        <f>(N$83*L165+O$83*M165+P$83*N165)</f>
        <v>-66.048100992726688</v>
      </c>
    </row>
    <row r="166" spans="1:15" ht="15" customHeight="1" x14ac:dyDescent="0.35">
      <c r="J166" s="31" t="s">
        <v>113</v>
      </c>
      <c r="L166" s="31">
        <f>(R155/R148-1)*100</f>
        <v>-52.212730343716942</v>
      </c>
      <c r="M166" s="31">
        <f>(Y155/Y148-1)*100</f>
        <v>-77.592740299452259</v>
      </c>
      <c r="N166" s="31">
        <f>(AF155/AF148-1)*100</f>
        <v>-77.370200433204161</v>
      </c>
      <c r="O166" s="31">
        <f>(((N$83*R155+O$83*Y155+P$83*AF155)/(N$83*R148+O$83*Y148+P$83*AF148))-1)*100</f>
        <v>-74.720809376052372</v>
      </c>
    </row>
    <row r="169" spans="1:15" ht="15" customHeight="1" x14ac:dyDescent="0.35">
      <c r="A169" s="30" t="s">
        <v>114</v>
      </c>
    </row>
    <row r="173" spans="1:15" ht="15" customHeight="1" x14ac:dyDescent="0.35">
      <c r="A173" s="31" t="s">
        <v>0</v>
      </c>
      <c r="B173" s="31" t="s">
        <v>53</v>
      </c>
      <c r="C173" s="31" t="s">
        <v>54</v>
      </c>
      <c r="F173" s="31" t="s">
        <v>222</v>
      </c>
      <c r="G173" s="85"/>
      <c r="H173" s="85"/>
      <c r="I173" s="85"/>
      <c r="J173" s="85"/>
      <c r="K173" s="85"/>
      <c r="L173" s="85"/>
    </row>
    <row r="174" spans="1:15" ht="15" customHeight="1" x14ac:dyDescent="0.35">
      <c r="A174" s="31" t="s">
        <v>3</v>
      </c>
      <c r="B174" s="76">
        <v>7</v>
      </c>
      <c r="C174" s="76">
        <v>7</v>
      </c>
      <c r="F174" s="31" t="s">
        <v>26</v>
      </c>
      <c r="G174" s="31" t="s">
        <v>58</v>
      </c>
      <c r="H174" s="31" t="s">
        <v>59</v>
      </c>
      <c r="I174" s="31" t="s">
        <v>60</v>
      </c>
      <c r="J174" s="31" t="s">
        <v>27</v>
      </c>
      <c r="K174" s="85"/>
      <c r="L174" s="85"/>
    </row>
    <row r="175" spans="1:15" ht="15" customHeight="1" x14ac:dyDescent="0.35">
      <c r="A175" s="31" t="s">
        <v>5</v>
      </c>
      <c r="B175" s="31">
        <v>213</v>
      </c>
      <c r="C175" s="77">
        <f>VALUE(B12)</f>
        <v>0</v>
      </c>
      <c r="F175" s="31" t="s">
        <v>29</v>
      </c>
      <c r="G175" s="31">
        <f t="shared" ref="G175:J181" si="38">L253</f>
        <v>-9.28561122401711</v>
      </c>
      <c r="H175" s="31">
        <f t="shared" si="38"/>
        <v>83.16468812523496</v>
      </c>
      <c r="I175" s="31">
        <f t="shared" si="38"/>
        <v>-19.107418752960815</v>
      </c>
      <c r="J175" s="31">
        <f t="shared" si="38"/>
        <v>14.69403491380872</v>
      </c>
      <c r="K175" s="91"/>
      <c r="L175" s="91"/>
    </row>
    <row r="176" spans="1:15" ht="15" customHeight="1" x14ac:dyDescent="0.35">
      <c r="A176" s="31" t="s">
        <v>7</v>
      </c>
      <c r="B176" s="31">
        <v>305</v>
      </c>
      <c r="C176" s="77">
        <f>VALUE(B13)</f>
        <v>0</v>
      </c>
      <c r="F176" s="31" t="s">
        <v>39</v>
      </c>
      <c r="G176" s="31">
        <f t="shared" si="38"/>
        <v>31.503978871884229</v>
      </c>
      <c r="H176" s="31">
        <f t="shared" si="38"/>
        <v>-73.398715079843697</v>
      </c>
      <c r="I176" s="31">
        <f t="shared" si="38"/>
        <v>-70.944283157666646</v>
      </c>
      <c r="J176" s="31">
        <f t="shared" si="38"/>
        <v>-64.241676197394511</v>
      </c>
      <c r="K176" s="91"/>
      <c r="L176" s="91"/>
    </row>
    <row r="177" spans="1:25" ht="15" customHeight="1" x14ac:dyDescent="0.35">
      <c r="A177" s="31" t="s">
        <v>8</v>
      </c>
      <c r="B177" s="70">
        <v>25</v>
      </c>
      <c r="C177" s="70">
        <f>VALUE(B14)</f>
        <v>0</v>
      </c>
      <c r="F177" s="31" t="s">
        <v>18</v>
      </c>
      <c r="G177" s="31">
        <f t="shared" si="38"/>
        <v>-44.143251960658084</v>
      </c>
      <c r="H177" s="31">
        <f t="shared" si="38"/>
        <v>-72.560223216915759</v>
      </c>
      <c r="I177" s="31">
        <f t="shared" si="38"/>
        <v>-74.121164073777791</v>
      </c>
      <c r="J177" s="31">
        <f t="shared" si="38"/>
        <v>-71.294426731224348</v>
      </c>
      <c r="K177" s="91"/>
      <c r="L177" s="91"/>
    </row>
    <row r="178" spans="1:25" ht="15" customHeight="1" x14ac:dyDescent="0.35">
      <c r="A178" s="31" t="s">
        <v>10</v>
      </c>
      <c r="B178" s="70">
        <f>IF(B$31="A",4,6)</f>
        <v>6</v>
      </c>
      <c r="C178" s="70">
        <f>VALUE(B15)</f>
        <v>0</v>
      </c>
      <c r="F178" s="31" t="s">
        <v>64</v>
      </c>
      <c r="G178" s="31">
        <f t="shared" si="38"/>
        <v>-82.326520010986542</v>
      </c>
      <c r="H178" s="31">
        <f t="shared" si="38"/>
        <v>-84.336792596577695</v>
      </c>
      <c r="I178" s="31">
        <f t="shared" si="38"/>
        <v>-82.682401251048915</v>
      </c>
      <c r="J178" s="31">
        <f t="shared" si="38"/>
        <v>-83.284097635016749</v>
      </c>
      <c r="K178" s="91"/>
      <c r="L178" s="91"/>
    </row>
    <row r="179" spans="1:25" ht="15" customHeight="1" x14ac:dyDescent="0.35">
      <c r="A179" s="31" t="s">
        <v>36</v>
      </c>
      <c r="B179" s="70">
        <f>IF(B17-C17&lt;=0.4,2,C73)</f>
        <v>2</v>
      </c>
      <c r="C179" s="70">
        <f>IF(B17-C17&lt;=0.4,AVERAGE(B17:C17),E73)</f>
        <v>0</v>
      </c>
      <c r="F179" s="31" t="s">
        <v>67</v>
      </c>
      <c r="G179" s="31">
        <f t="shared" si="38"/>
        <v>27.152440782833921</v>
      </c>
      <c r="H179" s="31">
        <f t="shared" si="38"/>
        <v>-54.190675308923851</v>
      </c>
      <c r="I179" s="31">
        <f t="shared" si="38"/>
        <v>-49.829960643785952</v>
      </c>
      <c r="J179" s="31">
        <f t="shared" si="38"/>
        <v>-45.748980840020437</v>
      </c>
      <c r="K179" s="91"/>
      <c r="L179" s="91"/>
    </row>
    <row r="180" spans="1:25" ht="15" customHeight="1" x14ac:dyDescent="0.35">
      <c r="A180" s="31" t="s">
        <v>16</v>
      </c>
      <c r="B180" s="31">
        <f>IF(B$32="A",15,20)</f>
        <v>20</v>
      </c>
      <c r="C180" s="77">
        <f>VALUE(B20)</f>
        <v>0</v>
      </c>
      <c r="F180" s="31" t="s">
        <v>69</v>
      </c>
      <c r="G180" s="31">
        <f t="shared" si="38"/>
        <v>30.145476100792081</v>
      </c>
      <c r="H180" s="31">
        <f t="shared" si="38"/>
        <v>-74.77402038086916</v>
      </c>
      <c r="I180" s="31">
        <f t="shared" si="38"/>
        <v>-73.111839007986035</v>
      </c>
      <c r="J180" s="31">
        <f t="shared" si="38"/>
        <v>-66.048100992726688</v>
      </c>
      <c r="K180" s="91"/>
      <c r="L180" s="91"/>
    </row>
    <row r="181" spans="1:25" ht="15" customHeight="1" x14ac:dyDescent="0.35">
      <c r="A181" s="31" t="s">
        <v>22</v>
      </c>
      <c r="B181" s="76">
        <v>0.8</v>
      </c>
      <c r="C181" s="76">
        <f>VALUE(B21)</f>
        <v>0</v>
      </c>
      <c r="F181" s="31" t="s">
        <v>31</v>
      </c>
      <c r="G181" s="31">
        <f t="shared" si="38"/>
        <v>-52.212730343716942</v>
      </c>
      <c r="H181" s="31">
        <f t="shared" si="38"/>
        <v>-77.592740299452259</v>
      </c>
      <c r="I181" s="31">
        <f t="shared" si="38"/>
        <v>-77.370200433204161</v>
      </c>
      <c r="J181" s="31">
        <f t="shared" si="38"/>
        <v>-74.720809376052372</v>
      </c>
      <c r="K181" s="91"/>
      <c r="L181" s="91"/>
    </row>
    <row r="184" spans="1:25" ht="15" customHeight="1" x14ac:dyDescent="0.35">
      <c r="A184" s="31" t="s">
        <v>72</v>
      </c>
    </row>
    <row r="185" spans="1:25" ht="15" customHeight="1" x14ac:dyDescent="0.35">
      <c r="B185" s="31" t="s">
        <v>58</v>
      </c>
      <c r="C185" s="31" t="s">
        <v>58</v>
      </c>
      <c r="E185" s="31" t="s">
        <v>59</v>
      </c>
      <c r="F185" s="31" t="s">
        <v>59</v>
      </c>
      <c r="H185" s="31" t="s">
        <v>60</v>
      </c>
      <c r="I185" s="31" t="s">
        <v>60</v>
      </c>
    </row>
    <row r="186" spans="1:25" ht="15" customHeight="1" x14ac:dyDescent="0.35">
      <c r="A186" s="31" t="s">
        <v>0</v>
      </c>
      <c r="B186" s="31" t="s">
        <v>73</v>
      </c>
      <c r="C186" s="31" t="s">
        <v>74</v>
      </c>
      <c r="E186" s="31" t="s">
        <v>73</v>
      </c>
      <c r="F186" s="31" t="s">
        <v>74</v>
      </c>
      <c r="H186" s="31" t="s">
        <v>73</v>
      </c>
      <c r="I186" s="31" t="s">
        <v>115</v>
      </c>
      <c r="K186" s="31" t="s">
        <v>212</v>
      </c>
      <c r="O186" s="31" t="s">
        <v>213</v>
      </c>
      <c r="S186" s="31" t="s">
        <v>214</v>
      </c>
      <c r="W186" s="31" t="s">
        <v>215</v>
      </c>
    </row>
    <row r="187" spans="1:25" ht="15" customHeight="1" x14ac:dyDescent="0.35">
      <c r="A187" s="29" t="s">
        <v>3</v>
      </c>
      <c r="B187" s="37">
        <v>8.6708920000000003</v>
      </c>
      <c r="C187" s="37">
        <v>0.63506600000000002</v>
      </c>
      <c r="D187" s="37"/>
      <c r="E187" s="37">
        <v>8.3654150000000005</v>
      </c>
      <c r="F187" s="37">
        <v>0.88911399999999996</v>
      </c>
      <c r="G187" s="37"/>
      <c r="H187" s="37">
        <v>8.2217000000000002</v>
      </c>
      <c r="I187" s="37">
        <v>0.90283800000000003</v>
      </c>
      <c r="L187" s="31" t="s">
        <v>227</v>
      </c>
      <c r="M187" s="31" t="s">
        <v>205</v>
      </c>
      <c r="P187" s="31" t="s">
        <v>228</v>
      </c>
      <c r="Q187" s="31" t="s">
        <v>205</v>
      </c>
      <c r="T187" s="31" t="s">
        <v>228</v>
      </c>
      <c r="U187" s="31" t="s">
        <v>205</v>
      </c>
      <c r="X187" s="31" t="s">
        <v>228</v>
      </c>
      <c r="Y187" s="31" t="s">
        <v>205</v>
      </c>
    </row>
    <row r="188" spans="1:25" ht="15" customHeight="1" x14ac:dyDescent="0.35">
      <c r="A188" s="29" t="s">
        <v>5</v>
      </c>
      <c r="B188" s="37">
        <v>212.24518800000001</v>
      </c>
      <c r="C188" s="37">
        <v>15.880385</v>
      </c>
      <c r="D188" s="37"/>
      <c r="E188" s="37">
        <v>205.26105100000001</v>
      </c>
      <c r="F188" s="37">
        <v>17.324472</v>
      </c>
      <c r="G188" s="37"/>
      <c r="H188" s="37">
        <v>206.02087</v>
      </c>
      <c r="I188" s="37">
        <v>16.582090000000001</v>
      </c>
      <c r="K188" s="31" t="s">
        <v>5</v>
      </c>
      <c r="L188" s="77">
        <v>213</v>
      </c>
      <c r="M188" s="31">
        <f>IF(C175&gt;L188,L188,C175)</f>
        <v>0</v>
      </c>
      <c r="O188" s="31" t="s">
        <v>229</v>
      </c>
      <c r="P188" s="77">
        <f>ROUND((225.3-5.6*C179-1.4*C177),0)</f>
        <v>225</v>
      </c>
      <c r="Q188" s="77">
        <f>IF(C175&lt;P188,P188,C175)</f>
        <v>225</v>
      </c>
      <c r="S188" s="31" t="s">
        <v>232</v>
      </c>
      <c r="T188" s="77">
        <f>ROUND(217.8-4.6*C179,0)</f>
        <v>218</v>
      </c>
      <c r="U188" s="31">
        <f>IF(C175&lt;T188,T188,C175)</f>
        <v>218</v>
      </c>
      <c r="W188" s="31" t="s">
        <v>229</v>
      </c>
      <c r="X188" s="77">
        <f>ROUND((218.2-1.1*C177-4.7*C179),0)</f>
        <v>218</v>
      </c>
      <c r="Y188" s="31">
        <f>IF(C175&lt;X188,X188,C175)</f>
        <v>218</v>
      </c>
    </row>
    <row r="189" spans="1:25" ht="15" customHeight="1" x14ac:dyDescent="0.35">
      <c r="A189" s="29" t="s">
        <v>7</v>
      </c>
      <c r="B189" s="37">
        <v>312.12159600000001</v>
      </c>
      <c r="C189" s="37">
        <v>23.264683999999999</v>
      </c>
      <c r="D189" s="37"/>
      <c r="E189" s="37">
        <v>310.931422</v>
      </c>
      <c r="F189" s="37">
        <v>20.847425000000001</v>
      </c>
      <c r="G189" s="37"/>
      <c r="H189" s="37">
        <v>310.5702</v>
      </c>
      <c r="I189" s="37">
        <v>22.967590999999999</v>
      </c>
      <c r="M189" s="83"/>
      <c r="O189" s="31" t="s">
        <v>230</v>
      </c>
      <c r="P189" s="77">
        <f>283</f>
        <v>283</v>
      </c>
      <c r="Q189" s="31">
        <f>IF(C176&lt;P189,P189,C176)</f>
        <v>283</v>
      </c>
      <c r="U189" s="83"/>
      <c r="W189" s="31" t="s">
        <v>230</v>
      </c>
      <c r="X189" s="77">
        <f>ROUND((314.8-8*C179),0)</f>
        <v>315</v>
      </c>
      <c r="Y189" s="83">
        <f>IF(C176&lt;X189,X189,C176)</f>
        <v>315</v>
      </c>
    </row>
    <row r="190" spans="1:25" ht="15" customHeight="1" x14ac:dyDescent="0.35">
      <c r="A190" s="29" t="s">
        <v>8</v>
      </c>
      <c r="B190" s="37">
        <v>30.212969000000001</v>
      </c>
      <c r="C190" s="37">
        <v>8.6820439999999994</v>
      </c>
      <c r="D190" s="37"/>
      <c r="E190" s="37">
        <v>27.317136999999999</v>
      </c>
      <c r="F190" s="37">
        <v>6.880833</v>
      </c>
      <c r="G190" s="37"/>
      <c r="H190" s="37">
        <v>26.875944</v>
      </c>
      <c r="I190" s="37">
        <v>6.6003119999999997</v>
      </c>
      <c r="L190" s="69"/>
      <c r="M190" s="69"/>
      <c r="O190" s="31" t="s">
        <v>231</v>
      </c>
      <c r="P190" s="69">
        <f>ROUND(-45.3466+0.3436*C175+1.8086*C179,1)</f>
        <v>-45.3</v>
      </c>
      <c r="Q190" s="70">
        <f>IF(C177&gt;P190,P190,C177)</f>
        <v>-45.3</v>
      </c>
      <c r="W190" s="31" t="s">
        <v>231</v>
      </c>
      <c r="X190" s="70">
        <f>ROUND(-45.5269+0.3425*C175+1.8518*C179,1)</f>
        <v>-45.5</v>
      </c>
      <c r="Y190" s="69">
        <f>IF(C177&gt;X190,X190,C177)</f>
        <v>-45.5</v>
      </c>
    </row>
    <row r="191" spans="1:25" ht="15" customHeight="1" x14ac:dyDescent="0.35">
      <c r="A191" s="29" t="s">
        <v>10</v>
      </c>
      <c r="B191" s="37">
        <v>7.3596240000000002</v>
      </c>
      <c r="C191" s="37">
        <v>5.3838039999999996</v>
      </c>
      <c r="D191" s="37"/>
      <c r="E191" s="37">
        <v>6.5494500000000002</v>
      </c>
      <c r="F191" s="37">
        <v>4.7153450000000001</v>
      </c>
      <c r="G191" s="37"/>
      <c r="H191" s="37">
        <v>6.2518909999999996</v>
      </c>
      <c r="I191" s="37">
        <v>4.431845</v>
      </c>
      <c r="U191" s="84"/>
      <c r="V191" s="84"/>
    </row>
    <row r="192" spans="1:25" ht="15" customHeight="1" x14ac:dyDescent="0.35">
      <c r="A192" s="29" t="s">
        <v>36</v>
      </c>
      <c r="B192" s="37">
        <v>0.89236300000000002</v>
      </c>
      <c r="C192" s="37">
        <v>1.2354050000000001</v>
      </c>
      <c r="D192" s="37"/>
      <c r="E192" s="37">
        <v>1.536017</v>
      </c>
      <c r="F192" s="37">
        <v>1.2488870000000001</v>
      </c>
      <c r="G192" s="37"/>
      <c r="H192" s="37">
        <v>1.5517719999999999</v>
      </c>
      <c r="I192" s="37">
        <v>1.262823</v>
      </c>
      <c r="S192" s="31" t="s">
        <v>233</v>
      </c>
      <c r="T192" s="31">
        <f>ROUND((-7.148+0.039*C175),1)</f>
        <v>-7.1</v>
      </c>
      <c r="U192" s="31">
        <f>IF(C179&lt;T192,T192,C179)</f>
        <v>0</v>
      </c>
      <c r="V192" s="84"/>
    </row>
    <row r="193" spans="1:33" ht="15" customHeight="1" x14ac:dyDescent="0.35">
      <c r="A193" s="29" t="s">
        <v>16</v>
      </c>
      <c r="B193" s="37">
        <v>139.69108</v>
      </c>
      <c r="C193" s="37">
        <v>126.74145900000001</v>
      </c>
      <c r="D193" s="37"/>
      <c r="E193" s="37">
        <v>154.12082799999999</v>
      </c>
      <c r="F193" s="37">
        <v>136.79044999999999</v>
      </c>
      <c r="G193" s="37"/>
      <c r="H193" s="37">
        <v>144.62890100000001</v>
      </c>
      <c r="I193" s="37">
        <v>140.91223400000001</v>
      </c>
    </row>
    <row r="194" spans="1:33" ht="15" customHeight="1" x14ac:dyDescent="0.35">
      <c r="A194" s="31" t="s">
        <v>22</v>
      </c>
      <c r="B194" s="37">
        <v>1.36412</v>
      </c>
      <c r="C194" s="37">
        <v>0.51305100000000003</v>
      </c>
      <c r="D194" s="37"/>
      <c r="E194" s="37">
        <v>1.014259</v>
      </c>
      <c r="F194" s="37">
        <v>0.53739199999999998</v>
      </c>
      <c r="G194" s="37"/>
      <c r="H194" s="37">
        <v>0.969248</v>
      </c>
      <c r="I194" s="37">
        <v>0.50432500000000002</v>
      </c>
    </row>
    <row r="197" spans="1:33" ht="15" customHeight="1" x14ac:dyDescent="0.35">
      <c r="N197" s="31" t="s">
        <v>76</v>
      </c>
      <c r="Q197" s="31" t="s">
        <v>204</v>
      </c>
    </row>
    <row r="198" spans="1:33" ht="15" customHeight="1" x14ac:dyDescent="0.35">
      <c r="A198" s="31" t="s">
        <v>77</v>
      </c>
      <c r="N198" s="31" t="s">
        <v>58</v>
      </c>
      <c r="O198" s="31" t="s">
        <v>58</v>
      </c>
      <c r="P198" s="31" t="s">
        <v>58</v>
      </c>
      <c r="Q198" s="31" t="s">
        <v>58</v>
      </c>
      <c r="R198" s="31" t="s">
        <v>58</v>
      </c>
      <c r="S198" s="31" t="s">
        <v>58</v>
      </c>
      <c r="U198" s="31" t="s">
        <v>59</v>
      </c>
      <c r="V198" s="31" t="s">
        <v>59</v>
      </c>
      <c r="W198" s="31" t="s">
        <v>59</v>
      </c>
      <c r="X198" s="31" t="s">
        <v>59</v>
      </c>
      <c r="Y198" s="31" t="s">
        <v>59</v>
      </c>
      <c r="Z198" s="31" t="s">
        <v>59</v>
      </c>
      <c r="AB198" s="85" t="s">
        <v>60</v>
      </c>
      <c r="AC198" s="85" t="s">
        <v>60</v>
      </c>
      <c r="AD198" s="85" t="s">
        <v>60</v>
      </c>
      <c r="AE198" s="85" t="s">
        <v>60</v>
      </c>
      <c r="AF198" s="85" t="s">
        <v>60</v>
      </c>
      <c r="AG198" s="85" t="s">
        <v>60</v>
      </c>
    </row>
    <row r="199" spans="1:33" ht="15" customHeight="1" x14ac:dyDescent="0.35">
      <c r="B199" s="31" t="s">
        <v>53</v>
      </c>
      <c r="C199" s="31" t="s">
        <v>53</v>
      </c>
      <c r="D199" s="46" t="s">
        <v>53</v>
      </c>
      <c r="E199" s="31" t="s">
        <v>54</v>
      </c>
      <c r="F199" s="31" t="s">
        <v>54</v>
      </c>
      <c r="G199" s="31" t="s">
        <v>54</v>
      </c>
      <c r="H199" s="31" t="s">
        <v>54</v>
      </c>
      <c r="I199" s="31" t="s">
        <v>54</v>
      </c>
      <c r="J199" s="31" t="s">
        <v>54</v>
      </c>
      <c r="K199" s="31" t="s">
        <v>54</v>
      </c>
      <c r="M199" s="31" t="s">
        <v>78</v>
      </c>
      <c r="N199" s="31" t="s">
        <v>29</v>
      </c>
      <c r="O199" s="31" t="s">
        <v>39</v>
      </c>
      <c r="P199" s="31" t="s">
        <v>22</v>
      </c>
      <c r="Q199" s="31" t="s">
        <v>64</v>
      </c>
      <c r="R199" s="31" t="s">
        <v>67</v>
      </c>
      <c r="S199" s="31" t="s">
        <v>69</v>
      </c>
      <c r="U199" s="31" t="s">
        <v>29</v>
      </c>
      <c r="V199" s="31" t="s">
        <v>39</v>
      </c>
      <c r="W199" s="31" t="s">
        <v>22</v>
      </c>
      <c r="X199" s="31" t="s">
        <v>64</v>
      </c>
      <c r="Y199" s="31" t="s">
        <v>67</v>
      </c>
      <c r="Z199" s="31" t="s">
        <v>69</v>
      </c>
      <c r="AB199" s="85" t="s">
        <v>29</v>
      </c>
      <c r="AC199" s="85" t="s">
        <v>39</v>
      </c>
      <c r="AD199" s="85" t="s">
        <v>22</v>
      </c>
      <c r="AE199" s="85" t="s">
        <v>64</v>
      </c>
      <c r="AF199" s="85" t="s">
        <v>67</v>
      </c>
      <c r="AG199" s="85" t="s">
        <v>69</v>
      </c>
    </row>
    <row r="200" spans="1:33" ht="15" customHeight="1" x14ac:dyDescent="0.35">
      <c r="A200" s="31" t="s">
        <v>0</v>
      </c>
      <c r="B200" s="31" t="s">
        <v>58</v>
      </c>
      <c r="C200" s="31" t="s">
        <v>59</v>
      </c>
      <c r="D200" s="46" t="s">
        <v>60</v>
      </c>
      <c r="E200" s="31" t="s">
        <v>58</v>
      </c>
      <c r="F200" s="31" t="s">
        <v>208</v>
      </c>
      <c r="G200" s="31" t="s">
        <v>209</v>
      </c>
      <c r="H200" s="31" t="s">
        <v>210</v>
      </c>
      <c r="I200" s="31" t="s">
        <v>211</v>
      </c>
      <c r="J200" s="31" t="s">
        <v>206</v>
      </c>
      <c r="K200" s="31" t="s">
        <v>207</v>
      </c>
      <c r="M200" s="31" t="s">
        <v>80</v>
      </c>
      <c r="N200" s="86">
        <v>-0.1598</v>
      </c>
      <c r="O200" s="87">
        <v>-0.75227005690000004</v>
      </c>
      <c r="P200" s="88">
        <v>2.9567652500000001</v>
      </c>
      <c r="Q200" s="88">
        <v>0.67173886000000005</v>
      </c>
      <c r="R200" s="88">
        <v>2.1683642399999998</v>
      </c>
      <c r="S200" s="88">
        <v>1.1012213900000001</v>
      </c>
      <c r="T200" s="86"/>
      <c r="U200" s="87">
        <v>-0.63469406770000003</v>
      </c>
      <c r="V200" s="87">
        <v>-1.142182048</v>
      </c>
      <c r="W200" s="88">
        <v>2.3824773000000001</v>
      </c>
      <c r="X200" s="88">
        <v>0.43090425999999998</v>
      </c>
      <c r="Y200" s="88">
        <v>1.0588666099999999</v>
      </c>
      <c r="Z200" s="88">
        <v>0.16738341000000001</v>
      </c>
      <c r="AA200" s="87"/>
      <c r="AB200" s="87">
        <v>-1.599255246</v>
      </c>
      <c r="AC200" s="87">
        <v>-2.6711867090000001</v>
      </c>
      <c r="AD200" s="88">
        <v>2.3824773000000001</v>
      </c>
      <c r="AE200" s="88">
        <v>0.43090425999999998</v>
      </c>
      <c r="AF200" s="88">
        <v>1.0588666099999999</v>
      </c>
      <c r="AG200" s="88">
        <v>0.16738341000000001</v>
      </c>
    </row>
    <row r="201" spans="1:33" ht="15" customHeight="1" x14ac:dyDescent="0.35">
      <c r="A201" s="31" t="s">
        <v>3</v>
      </c>
      <c r="B201" s="37">
        <f t="shared" ref="B201:B206" si="39">(B174-B187)/C187</f>
        <v>-2.6310525205254263</v>
      </c>
      <c r="C201" s="37">
        <f t="shared" ref="C201:C206" si="40">(B174-E187)/F187</f>
        <v>-1.5357029582258299</v>
      </c>
      <c r="D201" s="37">
        <f t="shared" ref="D201:D206" si="41">(B174-H187)/I187</f>
        <v>-1.3531774249643902</v>
      </c>
      <c r="E201" s="37">
        <f t="shared" ref="E201:E206" si="42">(C174-B187)/C187</f>
        <v>-2.6310525205254263</v>
      </c>
      <c r="F201" s="37">
        <f>(C174-E187)/F187</f>
        <v>-1.5357029582258299</v>
      </c>
      <c r="G201" s="37">
        <f>(C174-H187)/I187</f>
        <v>-1.3531774249643902</v>
      </c>
      <c r="H201" s="37">
        <f>(C174-E187)/F187</f>
        <v>-1.5357029582258299</v>
      </c>
      <c r="I201" s="37">
        <f>(C174-H187)/I187</f>
        <v>-1.3531774249643902</v>
      </c>
      <c r="J201" s="37">
        <f t="shared" ref="J201:J206" si="43">(C174-E187)/F187</f>
        <v>-1.5357029582258299</v>
      </c>
      <c r="K201" s="37">
        <f t="shared" ref="K201:K206" si="44">(C174-H187)/I187</f>
        <v>-1.3531774249643902</v>
      </c>
      <c r="M201" s="31" t="s">
        <v>3</v>
      </c>
      <c r="N201" s="86">
        <v>-1.6150000000000001E-2</v>
      </c>
      <c r="O201" s="87">
        <v>-4.5414999999999996E-6</v>
      </c>
      <c r="P201" s="88">
        <v>0</v>
      </c>
      <c r="Q201" s="88">
        <v>0</v>
      </c>
      <c r="R201" s="88">
        <v>0</v>
      </c>
      <c r="S201" s="88">
        <v>0</v>
      </c>
      <c r="T201" s="86"/>
      <c r="U201" s="87">
        <v>4.5875469000000004E-3</v>
      </c>
      <c r="V201" s="87">
        <v>1.259007E-2</v>
      </c>
      <c r="W201" s="88">
        <v>3.1141889999999998E-2</v>
      </c>
      <c r="X201" s="88">
        <v>0</v>
      </c>
      <c r="Y201" s="88">
        <v>0</v>
      </c>
      <c r="Z201" s="88">
        <v>0</v>
      </c>
      <c r="AA201" s="87"/>
      <c r="AB201" s="87">
        <v>3.94435E-4</v>
      </c>
      <c r="AC201" s="87">
        <v>9.4771439999999998E-3</v>
      </c>
      <c r="AD201" s="88">
        <v>3.1141889999999998E-2</v>
      </c>
      <c r="AE201" s="88">
        <v>0</v>
      </c>
      <c r="AF201" s="88">
        <v>0</v>
      </c>
      <c r="AG201" s="88">
        <v>0</v>
      </c>
    </row>
    <row r="202" spans="1:33" ht="15" customHeight="1" x14ac:dyDescent="0.35">
      <c r="A202" s="31" t="s">
        <v>5</v>
      </c>
      <c r="B202" s="37">
        <f t="shared" si="39"/>
        <v>4.753108945406468E-2</v>
      </c>
      <c r="C202" s="37">
        <f t="shared" si="40"/>
        <v>0.44670619687572533</v>
      </c>
      <c r="D202" s="37">
        <f t="shared" si="41"/>
        <v>0.42088361599774199</v>
      </c>
      <c r="E202" s="37">
        <f t="shared" si="42"/>
        <v>-13.365241963592194</v>
      </c>
      <c r="F202" s="37">
        <f>(M188-E188)/F188</f>
        <v>-11.848040794547735</v>
      </c>
      <c r="G202" s="37">
        <f>(U188-H188)/I188</f>
        <v>0.72241376087091536</v>
      </c>
      <c r="H202" s="37">
        <f>(Q188-E188)/F188</f>
        <v>1.1393679992094414</v>
      </c>
      <c r="I202" s="37">
        <f>(Y188-H188)/I188</f>
        <v>0.72241376087091536</v>
      </c>
      <c r="J202" s="37">
        <f t="shared" si="43"/>
        <v>-11.848040794547735</v>
      </c>
      <c r="K202" s="37">
        <f t="shared" si="44"/>
        <v>-12.424300555599444</v>
      </c>
      <c r="M202" s="31" t="s">
        <v>5</v>
      </c>
      <c r="N202" s="86">
        <v>-7.3600000000000002E-3</v>
      </c>
      <c r="O202" s="87">
        <v>1.5847404299999999E-2</v>
      </c>
      <c r="P202" s="88">
        <v>0</v>
      </c>
      <c r="Q202" s="88">
        <v>0.11391774</v>
      </c>
      <c r="R202" s="88">
        <v>0</v>
      </c>
      <c r="S202" s="88">
        <v>0</v>
      </c>
      <c r="T202" s="86"/>
      <c r="U202" s="87">
        <v>-2.4309965000000001E-3</v>
      </c>
      <c r="V202" s="87">
        <v>5.2938751999999999E-2</v>
      </c>
      <c r="W202" s="88">
        <v>4.6662080000000002E-2</v>
      </c>
      <c r="X202" s="88">
        <v>3.7078220000000002E-2</v>
      </c>
      <c r="Y202" s="88">
        <v>0</v>
      </c>
      <c r="Z202" s="88">
        <v>4.314573E-2</v>
      </c>
      <c r="AA202" s="87"/>
      <c r="AB202" s="87">
        <v>1.2397480000000001E-2</v>
      </c>
      <c r="AC202" s="87">
        <v>5.6795923999999998E-2</v>
      </c>
      <c r="AD202" s="88">
        <v>4.6662080000000002E-2</v>
      </c>
      <c r="AE202" s="88">
        <v>3.7078220000000002E-2</v>
      </c>
      <c r="AF202" s="88">
        <v>0</v>
      </c>
      <c r="AG202" s="88">
        <v>4.314573E-2</v>
      </c>
    </row>
    <row r="203" spans="1:33" ht="15" customHeight="1" x14ac:dyDescent="0.35">
      <c r="A203" s="31" t="s">
        <v>7</v>
      </c>
      <c r="B203" s="37">
        <f t="shared" si="39"/>
        <v>-0.30611187325819733</v>
      </c>
      <c r="C203" s="37">
        <f t="shared" si="40"/>
        <v>-0.28451580950644972</v>
      </c>
      <c r="D203" s="37">
        <f t="shared" si="41"/>
        <v>-0.24252434658906979</v>
      </c>
      <c r="E203" s="37">
        <f t="shared" si="42"/>
        <v>-13.416111562056894</v>
      </c>
      <c r="F203" s="37">
        <f>(C176-E189)/F189</f>
        <v>-14.914620007027246</v>
      </c>
      <c r="G203" s="37">
        <f>(C176-H189)/I189</f>
        <v>-13.52210599709826</v>
      </c>
      <c r="H203" s="37">
        <f>(Q189-E189)/F189</f>
        <v>-1.3398020139177858</v>
      </c>
      <c r="I203" s="37">
        <f>(Y189-H189)/I189</f>
        <v>0.19287177309975612</v>
      </c>
      <c r="J203" s="37">
        <f t="shared" si="43"/>
        <v>-14.914620007027246</v>
      </c>
      <c r="K203" s="37">
        <f t="shared" si="44"/>
        <v>-13.52210599709826</v>
      </c>
      <c r="M203" s="31" t="s">
        <v>7</v>
      </c>
      <c r="N203" s="86">
        <v>6.5399999999999996E-4</v>
      </c>
      <c r="O203" s="87">
        <v>1.17684729E-2</v>
      </c>
      <c r="P203" s="88">
        <v>0</v>
      </c>
      <c r="Q203" s="88">
        <v>0</v>
      </c>
      <c r="R203" s="88">
        <v>0</v>
      </c>
      <c r="S203" s="88">
        <v>0</v>
      </c>
      <c r="T203" s="86"/>
      <c r="U203" s="87">
        <v>2.0873752999999999E-3</v>
      </c>
      <c r="V203" s="87">
        <v>3.7683736000000002E-2</v>
      </c>
      <c r="W203" s="88">
        <v>0</v>
      </c>
      <c r="X203" s="88">
        <v>9.4542009999999996E-2</v>
      </c>
      <c r="Y203" s="88">
        <v>6.0376979999999997E-2</v>
      </c>
      <c r="Z203" s="88">
        <v>6.2529639999999997E-2</v>
      </c>
      <c r="AA203" s="87"/>
      <c r="AB203" s="87">
        <v>7.6197299999999999E-4</v>
      </c>
      <c r="AC203" s="87">
        <v>1.0802749E-2</v>
      </c>
      <c r="AD203" s="88">
        <v>0</v>
      </c>
      <c r="AE203" s="88">
        <v>9.4542009999999996E-2</v>
      </c>
      <c r="AF203" s="88">
        <v>6.0376979999999997E-2</v>
      </c>
      <c r="AG203" s="88">
        <v>6.2529639999999997E-2</v>
      </c>
    </row>
    <row r="204" spans="1:33" ht="15" customHeight="1" x14ac:dyDescent="0.35">
      <c r="A204" s="31" t="s">
        <v>8</v>
      </c>
      <c r="B204" s="37">
        <f t="shared" si="39"/>
        <v>-0.60043107360432657</v>
      </c>
      <c r="C204" s="37">
        <f t="shared" si="40"/>
        <v>-0.3367523961125054</v>
      </c>
      <c r="D204" s="37">
        <f t="shared" si="41"/>
        <v>-0.28422050351559147</v>
      </c>
      <c r="E204" s="37">
        <f t="shared" si="42"/>
        <v>-3.4799373281222721</v>
      </c>
      <c r="F204" s="37">
        <f>(C177-E190)/F190</f>
        <v>-3.9700334247321507</v>
      </c>
      <c r="G204" s="37">
        <f>(C177-H190)/I190</f>
        <v>-4.0719202364979115</v>
      </c>
      <c r="H204" s="37">
        <f>(Q190-E190)/F190</f>
        <v>-10.553538648590948</v>
      </c>
      <c r="I204" s="37">
        <f>(Y190-H190)/I190</f>
        <v>-10.965533750525735</v>
      </c>
      <c r="J204" s="37">
        <f t="shared" si="43"/>
        <v>-3.9700334247321507</v>
      </c>
      <c r="K204" s="37">
        <f t="shared" si="44"/>
        <v>-4.0719202364979115</v>
      </c>
      <c r="M204" s="31" t="s">
        <v>8</v>
      </c>
      <c r="N204" s="86">
        <v>4.7059999999999998E-2</v>
      </c>
      <c r="O204" s="87">
        <v>1.41032368E-2</v>
      </c>
      <c r="P204" s="88">
        <v>0.15191574999999999</v>
      </c>
      <c r="Q204" s="88">
        <v>0</v>
      </c>
      <c r="R204" s="88">
        <v>-7.5370989999999999E-2</v>
      </c>
      <c r="S204" s="88">
        <v>-9.2194159999999997E-2</v>
      </c>
      <c r="T204" s="86"/>
      <c r="U204" s="87">
        <v>1.1365783000000001E-2</v>
      </c>
      <c r="V204" s="87">
        <v>2.046848E-3</v>
      </c>
      <c r="W204" s="88">
        <v>0.15517085</v>
      </c>
      <c r="X204" s="88">
        <v>-3.6043440000000003E-2</v>
      </c>
      <c r="Y204" s="88">
        <v>-5.4662830000000003E-2</v>
      </c>
      <c r="Z204" s="88">
        <v>-5.5526409999999998E-2</v>
      </c>
      <c r="AA204" s="87"/>
      <c r="AB204" s="87">
        <v>1.3671068E-2</v>
      </c>
      <c r="AC204" s="87">
        <v>3.0393899999999999E-3</v>
      </c>
      <c r="AD204" s="88">
        <v>0.15517085</v>
      </c>
      <c r="AE204" s="88">
        <v>-3.6043440000000003E-2</v>
      </c>
      <c r="AF204" s="88">
        <v>-5.4662830000000003E-2</v>
      </c>
      <c r="AG204" s="88">
        <v>-5.5526409999999998E-2</v>
      </c>
    </row>
    <row r="205" spans="1:33" ht="15" customHeight="1" x14ac:dyDescent="0.35">
      <c r="A205" s="31" t="s">
        <v>10</v>
      </c>
      <c r="B205" s="37">
        <f t="shared" si="39"/>
        <v>-0.25253965411816631</v>
      </c>
      <c r="C205" s="37">
        <f t="shared" si="40"/>
        <v>-0.1165238174513212</v>
      </c>
      <c r="D205" s="37">
        <f t="shared" si="41"/>
        <v>-5.6836599655448156E-2</v>
      </c>
      <c r="E205" s="37">
        <f t="shared" si="42"/>
        <v>-1.3669933006476462</v>
      </c>
      <c r="F205" s="37">
        <f>(C178-E191)/F191</f>
        <v>-1.3889651764611073</v>
      </c>
      <c r="G205" s="37">
        <f>(C178-H191)/I191</f>
        <v>-1.4106745610462459</v>
      </c>
      <c r="H205" s="37">
        <f>(C178-E191)/F191</f>
        <v>-1.3889651764611073</v>
      </c>
      <c r="I205" s="37">
        <f>(C178-H191)/I191</f>
        <v>-1.4106745610462459</v>
      </c>
      <c r="J205" s="37">
        <f t="shared" si="43"/>
        <v>-1.3889651764611073</v>
      </c>
      <c r="K205" s="37">
        <f t="shared" si="44"/>
        <v>-1.4106745610462459</v>
      </c>
      <c r="M205" s="31" t="s">
        <v>10</v>
      </c>
      <c r="N205" s="86">
        <v>2.111E-2</v>
      </c>
      <c r="O205" s="87">
        <v>-1.6533437200000001E-2</v>
      </c>
      <c r="P205" s="88">
        <v>0</v>
      </c>
      <c r="Q205" s="88">
        <v>0.18408319000000001</v>
      </c>
      <c r="R205" s="88">
        <v>0</v>
      </c>
      <c r="S205" s="88">
        <v>0</v>
      </c>
      <c r="T205" s="86"/>
      <c r="U205" s="87">
        <v>1.7193130099999999E-2</v>
      </c>
      <c r="V205" s="87">
        <v>-1.0716257999999999E-2</v>
      </c>
      <c r="W205" s="88">
        <v>-2.5487590000000001E-2</v>
      </c>
      <c r="X205" s="88">
        <v>0.10354089</v>
      </c>
      <c r="Y205" s="88">
        <v>0</v>
      </c>
      <c r="Z205" s="88">
        <v>0</v>
      </c>
      <c r="AA205" s="87"/>
      <c r="AB205" s="87">
        <v>1.7334787000000001E-2</v>
      </c>
      <c r="AC205" s="87">
        <v>-1.0907501999999999E-2</v>
      </c>
      <c r="AD205" s="88">
        <v>-2.5487590000000001E-2</v>
      </c>
      <c r="AE205" s="88">
        <v>0.10354089</v>
      </c>
      <c r="AF205" s="88">
        <v>0</v>
      </c>
      <c r="AG205" s="88">
        <v>0</v>
      </c>
    </row>
    <row r="206" spans="1:33" ht="15" customHeight="1" x14ac:dyDescent="0.35">
      <c r="A206" s="31" t="s">
        <v>36</v>
      </c>
      <c r="B206" s="37">
        <f t="shared" si="39"/>
        <v>0.89657804525641382</v>
      </c>
      <c r="C206" s="37">
        <f t="shared" si="40"/>
        <v>0.37151719891391294</v>
      </c>
      <c r="D206" s="37">
        <f t="shared" si="41"/>
        <v>0.35494127047100033</v>
      </c>
      <c r="E206" s="37">
        <f t="shared" si="42"/>
        <v>-0.72232425803683808</v>
      </c>
      <c r="F206" s="37">
        <f>(C179-E192)/F192</f>
        <v>-1.2299087107160214</v>
      </c>
      <c r="G206" s="37">
        <f>(U192-H192)/I192</f>
        <v>-1.2288119554363517</v>
      </c>
      <c r="H206" s="37">
        <f>(C179-E192)/F192</f>
        <v>-1.2299087107160214</v>
      </c>
      <c r="I206" s="37">
        <f>(C179-H192)/I192</f>
        <v>-1.2288119554363517</v>
      </c>
      <c r="J206" s="37">
        <f t="shared" si="43"/>
        <v>-1.2299087107160214</v>
      </c>
      <c r="K206" s="37">
        <f t="shared" si="44"/>
        <v>-1.2288119554363517</v>
      </c>
      <c r="M206" s="31" t="s">
        <v>36</v>
      </c>
      <c r="N206" s="86">
        <v>1.491E-2</v>
      </c>
      <c r="O206" s="87">
        <v>-2.6365493899999998E-2</v>
      </c>
      <c r="P206" s="88">
        <v>-3.2959849999999999E-2</v>
      </c>
      <c r="Q206" s="88">
        <v>0</v>
      </c>
      <c r="R206" s="88">
        <v>0.12278577</v>
      </c>
      <c r="S206" s="88">
        <v>1.2298299999999999E-3</v>
      </c>
      <c r="T206" s="86"/>
      <c r="U206" s="87">
        <v>2.8711163200000001E-2</v>
      </c>
      <c r="V206" s="87">
        <v>-1.9880282999999999E-2</v>
      </c>
      <c r="W206" s="88">
        <v>0</v>
      </c>
      <c r="X206" s="88">
        <v>-2.5113739999999999E-2</v>
      </c>
      <c r="Y206" s="88">
        <v>6.3700909999999999E-2</v>
      </c>
      <c r="Z206" s="88">
        <v>2.3821229999999999E-2</v>
      </c>
      <c r="AA206" s="87"/>
      <c r="AB206" s="87">
        <v>1.6035726E-2</v>
      </c>
      <c r="AC206" s="87">
        <v>-7.527583E-3</v>
      </c>
      <c r="AD206" s="88">
        <v>0</v>
      </c>
      <c r="AE206" s="88">
        <v>-2.5113739999999999E-2</v>
      </c>
      <c r="AF206" s="88">
        <v>6.3700909999999999E-2</v>
      </c>
      <c r="AG206" s="88">
        <v>2.3821229999999999E-2</v>
      </c>
    </row>
    <row r="207" spans="1:33" ht="15" customHeight="1" x14ac:dyDescent="0.35">
      <c r="A207" s="31" t="s">
        <v>36</v>
      </c>
      <c r="B207" s="37">
        <f>(B179-B192)/C192</f>
        <v>0.89657804525641382</v>
      </c>
      <c r="C207" s="37">
        <f>(B179-E192)/F192</f>
        <v>0.37151719891391294</v>
      </c>
      <c r="D207" s="37">
        <f>(B179-H192)/I192</f>
        <v>0.35494127047100033</v>
      </c>
      <c r="E207" s="37">
        <f>(C179-B192)/C192</f>
        <v>-0.72232425803683808</v>
      </c>
      <c r="F207" s="37">
        <f>(C179-E192)/F192</f>
        <v>-1.2299087107160214</v>
      </c>
      <c r="G207" s="37">
        <f>(U192-H192)/I192</f>
        <v>-1.2288119554363517</v>
      </c>
      <c r="H207" s="37">
        <f>(C179-E192)/F192</f>
        <v>-1.2299087107160214</v>
      </c>
      <c r="I207" s="37">
        <f>(C179-H192)/I192</f>
        <v>-1.2288119554363517</v>
      </c>
      <c r="J207" s="37">
        <f>(C179-E192)/F192</f>
        <v>-1.2299087107160214</v>
      </c>
      <c r="K207" s="37">
        <f>(C179-H192)/I192</f>
        <v>-1.2288119554363517</v>
      </c>
      <c r="M207" s="31" t="s">
        <v>81</v>
      </c>
      <c r="N207" s="88">
        <v>0</v>
      </c>
      <c r="O207" s="86">
        <v>0</v>
      </c>
      <c r="P207" s="88">
        <v>0</v>
      </c>
      <c r="Q207" s="88">
        <v>0</v>
      </c>
      <c r="R207" s="88">
        <f>IF($C18=0,0,-0.12295089)</f>
        <v>0</v>
      </c>
      <c r="S207" s="88">
        <f>IF($C18=0,0,0.54678495)</f>
        <v>0</v>
      </c>
      <c r="T207" s="86"/>
      <c r="U207" s="86">
        <v>0</v>
      </c>
      <c r="V207" s="86">
        <v>0</v>
      </c>
      <c r="W207" s="88">
        <v>0</v>
      </c>
      <c r="X207" s="88">
        <v>0</v>
      </c>
      <c r="Y207" s="88">
        <f>IF($C18=0,0,-0.09819814)</f>
        <v>0</v>
      </c>
      <c r="Z207" s="88">
        <f>IF($C18=0,0,0.46699012)</f>
        <v>0</v>
      </c>
      <c r="AA207" s="86"/>
      <c r="AB207" s="86">
        <v>0</v>
      </c>
      <c r="AC207" s="86">
        <v>0</v>
      </c>
      <c r="AD207" s="88">
        <v>0</v>
      </c>
      <c r="AE207" s="88">
        <v>0</v>
      </c>
      <c r="AF207" s="88">
        <f>IF($C18=0,0,-0.09819814)</f>
        <v>0</v>
      </c>
      <c r="AG207" s="88">
        <f>IF($C18=0,0,0.46699012)</f>
        <v>0</v>
      </c>
    </row>
    <row r="208" spans="1:33" ht="15" customHeight="1" x14ac:dyDescent="0.35">
      <c r="A208" s="31" t="s">
        <v>16</v>
      </c>
      <c r="B208" s="37">
        <f>(B180-B193)/C193</f>
        <v>-0.94437195961267884</v>
      </c>
      <c r="C208" s="37">
        <f>(B180-E193)/F193</f>
        <v>-0.98048385687743544</v>
      </c>
      <c r="D208" s="37">
        <f>(B180-H193)/I193</f>
        <v>-0.88444344016290311</v>
      </c>
      <c r="E208" s="37">
        <f>(C180-B193)/C193</f>
        <v>-1.102173520031831</v>
      </c>
      <c r="F208" s="37">
        <f>(C180-E193)/F193</f>
        <v>-1.1266928941311327</v>
      </c>
      <c r="G208" s="37">
        <f>(C180-H193)/I193</f>
        <v>-1.0263757581190573</v>
      </c>
      <c r="H208" s="37">
        <f>(C180-E193)/F193</f>
        <v>-1.1266928941311327</v>
      </c>
      <c r="I208" s="37">
        <f>(C180-H193)/I193</f>
        <v>-1.0263757581190573</v>
      </c>
      <c r="J208" s="37">
        <f>(C180-E193)/F193</f>
        <v>-1.1266928941311327</v>
      </c>
      <c r="K208" s="37">
        <f>(C180-H193)/I193</f>
        <v>-1.0263757581190573</v>
      </c>
      <c r="M208" s="31" t="s">
        <v>16</v>
      </c>
      <c r="N208" s="86">
        <v>2.8039999999999999E-2</v>
      </c>
      <c r="O208" s="87">
        <v>3.8207296799999999E-2</v>
      </c>
      <c r="P208" s="88">
        <v>6.8376800000000001E-2</v>
      </c>
      <c r="Q208" s="88">
        <v>0</v>
      </c>
      <c r="R208" s="88">
        <v>0</v>
      </c>
      <c r="S208" s="88">
        <v>0</v>
      </c>
      <c r="T208" s="86"/>
      <c r="U208" s="87">
        <v>5.1043337000000001E-2</v>
      </c>
      <c r="V208" s="87">
        <v>7.9372872999999997E-2</v>
      </c>
      <c r="W208" s="88">
        <v>9.6525260000000002E-2</v>
      </c>
      <c r="X208" s="88">
        <v>0</v>
      </c>
      <c r="Y208" s="88">
        <v>-4.1350749999999999E-2</v>
      </c>
      <c r="Z208" s="88">
        <v>2.7882629999999999E-2</v>
      </c>
      <c r="AA208" s="87"/>
      <c r="AB208" s="87">
        <v>0.94791519899999999</v>
      </c>
      <c r="AC208" s="87">
        <v>0.24223763200000001</v>
      </c>
      <c r="AD208" s="88">
        <v>9.6525260000000002E-2</v>
      </c>
      <c r="AE208" s="88">
        <v>0</v>
      </c>
      <c r="AF208" s="88">
        <v>-4.1350749999999999E-2</v>
      </c>
      <c r="AG208" s="88">
        <v>2.7882629999999999E-2</v>
      </c>
    </row>
    <row r="209" spans="1:33" ht="15" customHeight="1" x14ac:dyDescent="0.35">
      <c r="A209" s="31" t="s">
        <v>22</v>
      </c>
      <c r="B209" s="37">
        <f>(B181-B194)/C194</f>
        <v>-1.0995398118315722</v>
      </c>
      <c r="C209" s="37">
        <f>(B181-E194)/F194</f>
        <v>-0.39870150653526659</v>
      </c>
      <c r="D209" s="37">
        <f>(B181-H194)/I194</f>
        <v>-0.33559311951618487</v>
      </c>
      <c r="E209" s="37">
        <f>(C181-B194)/C194</f>
        <v>-2.6588389848182734</v>
      </c>
      <c r="F209" s="37">
        <f>(C181-E194)/F194</f>
        <v>-1.8873727186113676</v>
      </c>
      <c r="G209" s="37">
        <f>(C181-E194)/F194</f>
        <v>-1.8873727186113676</v>
      </c>
      <c r="H209" s="37">
        <f>(C181-E194)/F194</f>
        <v>-1.8873727186113676</v>
      </c>
      <c r="I209" s="37">
        <f>(C181-H194)/I194</f>
        <v>-1.9218718088534179</v>
      </c>
      <c r="J209" s="37">
        <f>(C181-E194)/F194</f>
        <v>-1.8873727186113676</v>
      </c>
      <c r="K209" s="37">
        <f>(C181-H194)/I194</f>
        <v>-1.9218718088534179</v>
      </c>
      <c r="M209" s="31" t="s">
        <v>22</v>
      </c>
      <c r="N209" s="88">
        <v>0</v>
      </c>
      <c r="O209" s="86">
        <v>0</v>
      </c>
      <c r="P209" s="88">
        <v>0.12025037</v>
      </c>
      <c r="Q209" s="88">
        <v>0</v>
      </c>
      <c r="R209" s="88">
        <v>-0.14234820000000001</v>
      </c>
      <c r="S209" s="88">
        <v>0</v>
      </c>
      <c r="T209" s="86"/>
      <c r="U209" s="86">
        <v>0</v>
      </c>
      <c r="V209" s="86">
        <v>0</v>
      </c>
      <c r="W209" s="88">
        <v>0.11689441</v>
      </c>
      <c r="X209" s="88">
        <v>3.6443870000000003E-2</v>
      </c>
      <c r="Y209" s="88">
        <v>0</v>
      </c>
      <c r="Z209" s="88">
        <v>6.1486529999999998E-2</v>
      </c>
      <c r="AA209" s="86"/>
      <c r="AB209" s="86">
        <v>0</v>
      </c>
      <c r="AC209" s="86">
        <v>0</v>
      </c>
      <c r="AD209" s="88">
        <v>0.11689441</v>
      </c>
      <c r="AE209" s="88">
        <v>3.6443870000000003E-2</v>
      </c>
      <c r="AF209" s="88">
        <v>0</v>
      </c>
      <c r="AG209" s="88">
        <v>6.1486529999999998E-2</v>
      </c>
    </row>
    <row r="210" spans="1:33" ht="15" customHeight="1" x14ac:dyDescent="0.35">
      <c r="A210" s="31" t="s">
        <v>82</v>
      </c>
      <c r="B210" s="37">
        <f t="shared" ref="B210:K210" si="45">(B201*B204)</f>
        <v>1.5797656896084511</v>
      </c>
      <c r="C210" s="37">
        <f t="shared" si="45"/>
        <v>0.51715165089961102</v>
      </c>
      <c r="D210" s="37">
        <f t="shared" si="45"/>
        <v>0.38460076906931046</v>
      </c>
      <c r="E210" s="37">
        <f t="shared" si="45"/>
        <v>9.1558978784266216</v>
      </c>
      <c r="F210" s="37">
        <f t="shared" si="45"/>
        <v>6.0967920746165865</v>
      </c>
      <c r="G210" s="37">
        <f t="shared" si="45"/>
        <v>5.5100305402846343</v>
      </c>
      <c r="H210" s="37">
        <f t="shared" si="45"/>
        <v>16.207100522391745</v>
      </c>
      <c r="I210" s="37">
        <f t="shared" si="45"/>
        <v>14.838312723896525</v>
      </c>
      <c r="J210" s="37">
        <f t="shared" si="45"/>
        <v>6.0967920746165865</v>
      </c>
      <c r="K210" s="37">
        <f t="shared" si="45"/>
        <v>5.5100305402846343</v>
      </c>
      <c r="M210" s="31" t="s">
        <v>82</v>
      </c>
      <c r="N210" s="88">
        <v>0</v>
      </c>
      <c r="O210" s="86">
        <v>0</v>
      </c>
      <c r="P210" s="88">
        <v>0</v>
      </c>
      <c r="Q210" s="88">
        <v>0</v>
      </c>
      <c r="R210" s="88">
        <v>0</v>
      </c>
      <c r="S210" s="88">
        <v>0</v>
      </c>
      <c r="T210" s="86"/>
      <c r="U210" s="86">
        <v>0</v>
      </c>
      <c r="V210" s="86">
        <v>0</v>
      </c>
      <c r="W210" s="88">
        <v>0</v>
      </c>
      <c r="X210" s="88">
        <v>0</v>
      </c>
      <c r="Y210" s="88">
        <v>0</v>
      </c>
      <c r="Z210" s="88">
        <v>0</v>
      </c>
      <c r="AA210" s="86"/>
      <c r="AB210" s="86">
        <v>0</v>
      </c>
      <c r="AC210" s="86">
        <v>0</v>
      </c>
      <c r="AD210" s="88">
        <v>0</v>
      </c>
      <c r="AE210" s="88">
        <v>0</v>
      </c>
      <c r="AF210" s="88">
        <v>0</v>
      </c>
      <c r="AG210" s="88">
        <v>0</v>
      </c>
    </row>
    <row r="211" spans="1:33" ht="15" customHeight="1" x14ac:dyDescent="0.35">
      <c r="A211" s="31" t="s">
        <v>83</v>
      </c>
      <c r="B211" s="37">
        <f t="shared" ref="B211:K211" si="46">(B201*B202)</f>
        <v>-0.12505679271143638</v>
      </c>
      <c r="C211" s="37">
        <f t="shared" si="46"/>
        <v>-0.68600802799986138</v>
      </c>
      <c r="D211" s="37">
        <f t="shared" si="46"/>
        <v>-0.56953020770552576</v>
      </c>
      <c r="E211" s="37">
        <f t="shared" si="46"/>
        <v>35.164653555741438</v>
      </c>
      <c r="F211" s="37">
        <f t="shared" si="46"/>
        <v>18.195071297367271</v>
      </c>
      <c r="G211" s="37">
        <f t="shared" si="46"/>
        <v>-0.977553992694146</v>
      </c>
      <c r="H211" s="37">
        <f t="shared" si="46"/>
        <v>-1.7497308068937842</v>
      </c>
      <c r="I211" s="37">
        <f t="shared" si="46"/>
        <v>-0.977553992694146</v>
      </c>
      <c r="J211" s="37">
        <f t="shared" si="46"/>
        <v>18.195071297367271</v>
      </c>
      <c r="K211" s="37">
        <f t="shared" si="46"/>
        <v>16.812283032809699</v>
      </c>
      <c r="M211" s="31" t="s">
        <v>83</v>
      </c>
      <c r="N211" s="88">
        <v>0</v>
      </c>
      <c r="O211" s="86">
        <v>0</v>
      </c>
      <c r="P211" s="88">
        <v>0</v>
      </c>
      <c r="Q211" s="88">
        <v>0</v>
      </c>
      <c r="R211" s="88">
        <v>0</v>
      </c>
      <c r="S211" s="88">
        <v>0</v>
      </c>
      <c r="T211" s="86"/>
      <c r="U211" s="86">
        <v>0</v>
      </c>
      <c r="V211" s="86">
        <v>0</v>
      </c>
      <c r="W211" s="88">
        <v>0</v>
      </c>
      <c r="X211" s="88">
        <v>0</v>
      </c>
      <c r="Y211" s="88">
        <v>0</v>
      </c>
      <c r="Z211" s="88">
        <v>0</v>
      </c>
      <c r="AA211" s="86"/>
      <c r="AB211" s="86">
        <v>0</v>
      </c>
      <c r="AC211" s="86">
        <v>0</v>
      </c>
      <c r="AD211" s="88">
        <v>0</v>
      </c>
      <c r="AE211" s="88">
        <v>0</v>
      </c>
      <c r="AF211" s="88">
        <v>0</v>
      </c>
      <c r="AG211" s="88">
        <v>0</v>
      </c>
    </row>
    <row r="212" spans="1:33" ht="15" customHeight="1" x14ac:dyDescent="0.35">
      <c r="A212" s="31" t="s">
        <v>84</v>
      </c>
      <c r="B212" s="37">
        <f t="shared" ref="B212:K212" si="47">(B202*B204)</f>
        <v>-2.8539143070487341E-2</v>
      </c>
      <c r="C212" s="37">
        <f t="shared" si="47"/>
        <v>-0.15042938215620508</v>
      </c>
      <c r="D212" s="37">
        <f t="shared" si="47"/>
        <v>-0.11962375326034108</v>
      </c>
      <c r="E212" s="37">
        <f t="shared" si="47"/>
        <v>46.510204408490686</v>
      </c>
      <c r="F212" s="37">
        <f t="shared" si="47"/>
        <v>47.037117971944575</v>
      </c>
      <c r="G212" s="37">
        <f t="shared" si="47"/>
        <v>-2.9416112120148434</v>
      </c>
      <c r="H212" s="37">
        <f t="shared" si="47"/>
        <v>-12.02436421462458</v>
      </c>
      <c r="I212" s="37">
        <f t="shared" si="47"/>
        <v>-7.9216524766742493</v>
      </c>
      <c r="J212" s="37">
        <f t="shared" si="47"/>
        <v>47.037117971944575</v>
      </c>
      <c r="K212" s="37">
        <f t="shared" si="47"/>
        <v>50.590760856677619</v>
      </c>
      <c r="M212" s="31" t="s">
        <v>84</v>
      </c>
      <c r="N212" s="88">
        <v>0</v>
      </c>
      <c r="O212" s="86">
        <v>0</v>
      </c>
      <c r="P212" s="88">
        <v>0</v>
      </c>
      <c r="Q212" s="88">
        <v>0</v>
      </c>
      <c r="R212" s="88">
        <v>0</v>
      </c>
      <c r="S212" s="88">
        <v>0</v>
      </c>
      <c r="T212" s="86"/>
      <c r="U212" s="86">
        <v>0</v>
      </c>
      <c r="V212" s="87">
        <v>1.9031084E-2</v>
      </c>
      <c r="W212" s="88">
        <v>0</v>
      </c>
      <c r="X212" s="88">
        <v>0</v>
      </c>
      <c r="Y212" s="88">
        <v>0</v>
      </c>
      <c r="Z212" s="88">
        <v>0</v>
      </c>
      <c r="AA212" s="86"/>
      <c r="AB212" s="86">
        <v>0</v>
      </c>
      <c r="AC212" s="87">
        <v>1.6760723000000002E-2</v>
      </c>
      <c r="AD212" s="88">
        <v>0</v>
      </c>
      <c r="AE212" s="88">
        <v>0</v>
      </c>
      <c r="AF212" s="88">
        <v>0</v>
      </c>
      <c r="AG212" s="88">
        <v>0</v>
      </c>
    </row>
    <row r="213" spans="1:33" ht="15" customHeight="1" x14ac:dyDescent="0.35">
      <c r="A213" s="31" t="s">
        <v>85</v>
      </c>
      <c r="B213" s="37">
        <f t="shared" ref="B213:K213" si="48">(B202*B202)</f>
        <v>2.2592044646902987E-3</v>
      </c>
      <c r="C213" s="37">
        <f t="shared" si="48"/>
        <v>0.19954642632717429</v>
      </c>
      <c r="D213" s="37">
        <f t="shared" si="48"/>
        <v>0.17714301821533474</v>
      </c>
      <c r="E213" s="37">
        <f t="shared" si="48"/>
        <v>178.62969274536573</v>
      </c>
      <c r="F213" s="37">
        <f t="shared" si="48"/>
        <v>140.37607066926734</v>
      </c>
      <c r="G213" s="37">
        <f t="shared" si="48"/>
        <v>0.52188164189566011</v>
      </c>
      <c r="H213" s="37">
        <f t="shared" si="48"/>
        <v>1.2981594376225256</v>
      </c>
      <c r="I213" s="37">
        <f t="shared" si="48"/>
        <v>0.52188164189566011</v>
      </c>
      <c r="J213" s="37">
        <f t="shared" si="48"/>
        <v>140.37607066926734</v>
      </c>
      <c r="K213" s="37">
        <f t="shared" si="48"/>
        <v>154.36324429586867</v>
      </c>
      <c r="M213" s="31" t="s">
        <v>85</v>
      </c>
      <c r="N213" s="88">
        <v>0</v>
      </c>
      <c r="O213" s="86">
        <v>0</v>
      </c>
      <c r="P213" s="88">
        <v>0</v>
      </c>
      <c r="Q213" s="88">
        <v>0</v>
      </c>
      <c r="R213" s="88">
        <v>0</v>
      </c>
      <c r="S213" s="88">
        <v>0</v>
      </c>
      <c r="T213" s="86"/>
      <c r="U213" s="87">
        <v>6.2682470999999998E-3</v>
      </c>
      <c r="V213" s="87">
        <v>1.7085653999999999E-2</v>
      </c>
      <c r="W213" s="88">
        <v>0</v>
      </c>
      <c r="X213" s="88">
        <v>0</v>
      </c>
      <c r="Y213" s="88">
        <v>0</v>
      </c>
      <c r="Z213" s="88">
        <v>0</v>
      </c>
      <c r="AA213" s="87"/>
      <c r="AB213" s="87">
        <v>-2.221126E-2</v>
      </c>
      <c r="AC213" s="87">
        <v>1.9563428000000001E-2</v>
      </c>
      <c r="AD213" s="88">
        <v>0</v>
      </c>
      <c r="AE213" s="88">
        <v>0</v>
      </c>
      <c r="AF213" s="88">
        <v>0</v>
      </c>
      <c r="AG213" s="88">
        <v>0</v>
      </c>
    </row>
    <row r="214" spans="1:33" ht="15" customHeight="1" x14ac:dyDescent="0.35">
      <c r="A214" s="31" t="s">
        <v>86</v>
      </c>
      <c r="B214" s="37">
        <f t="shared" ref="B214:K214" si="49">(B202*B203)</f>
        <v>-1.4549830830786687E-2</v>
      </c>
      <c r="C214" s="37">
        <f t="shared" si="49"/>
        <v>-0.1270949752156445</v>
      </c>
      <c r="D214" s="37">
        <f t="shared" si="49"/>
        <v>-0.10207452395989734</v>
      </c>
      <c r="E214" s="37">
        <f t="shared" si="49"/>
        <v>179.30957723743722</v>
      </c>
      <c r="F214" s="37">
        <f t="shared" si="49"/>
        <v>176.70902627843662</v>
      </c>
      <c r="G214" s="37">
        <f t="shared" si="49"/>
        <v>-9.7685554482589119</v>
      </c>
      <c r="H214" s="37">
        <f t="shared" si="49"/>
        <v>-1.5265275399342877</v>
      </c>
      <c r="I214" s="37">
        <f t="shared" si="49"/>
        <v>0.13933322297083667</v>
      </c>
      <c r="J214" s="37">
        <f t="shared" si="49"/>
        <v>176.70902627843662</v>
      </c>
      <c r="K214" s="37">
        <f t="shared" si="49"/>
        <v>168.00270905262249</v>
      </c>
      <c r="M214" s="31" t="s">
        <v>86</v>
      </c>
      <c r="N214" s="88">
        <v>0</v>
      </c>
      <c r="O214" s="86">
        <v>0</v>
      </c>
      <c r="P214" s="88">
        <v>0</v>
      </c>
      <c r="Q214" s="88">
        <v>0</v>
      </c>
      <c r="R214" s="88">
        <v>0</v>
      </c>
      <c r="S214" s="88">
        <v>0</v>
      </c>
      <c r="T214" s="86"/>
      <c r="U214" s="86">
        <v>0</v>
      </c>
      <c r="V214" s="86">
        <v>0</v>
      </c>
      <c r="W214" s="88">
        <v>0</v>
      </c>
      <c r="X214" s="88">
        <v>0</v>
      </c>
      <c r="Y214" s="88">
        <v>0</v>
      </c>
      <c r="Z214" s="88">
        <v>0</v>
      </c>
      <c r="AA214" s="86"/>
      <c r="AB214" s="86">
        <v>0</v>
      </c>
      <c r="AC214" s="86">
        <v>0</v>
      </c>
      <c r="AD214" s="88">
        <v>0</v>
      </c>
      <c r="AE214" s="88">
        <v>0</v>
      </c>
      <c r="AF214" s="88">
        <v>0</v>
      </c>
      <c r="AG214" s="88">
        <v>0</v>
      </c>
    </row>
    <row r="215" spans="1:33" ht="15" customHeight="1" x14ac:dyDescent="0.35">
      <c r="A215" s="31" t="s">
        <v>87</v>
      </c>
      <c r="B215" s="37">
        <f t="shared" ref="B215:K215" si="50">(B202*B206)</f>
        <v>4.2615331271633056E-2</v>
      </c>
      <c r="C215" s="37">
        <f t="shared" si="50"/>
        <v>0.1659590350007564</v>
      </c>
      <c r="D215" s="37">
        <f t="shared" si="50"/>
        <v>0.14938896538266719</v>
      </c>
      <c r="E215" s="37">
        <f t="shared" si="50"/>
        <v>9.654038484834544</v>
      </c>
      <c r="F215" s="37">
        <f t="shared" si="50"/>
        <v>14.57200857813303</v>
      </c>
      <c r="G215" s="37">
        <f t="shared" si="50"/>
        <v>-0.88771066612991845</v>
      </c>
      <c r="H215" s="37">
        <f t="shared" si="50"/>
        <v>-1.401318626938777</v>
      </c>
      <c r="I215" s="37">
        <f t="shared" si="50"/>
        <v>-0.88771066612991845</v>
      </c>
      <c r="J215" s="37">
        <f t="shared" si="50"/>
        <v>14.57200857813303</v>
      </c>
      <c r="K215" s="37">
        <f t="shared" si="50"/>
        <v>15.267129060655105</v>
      </c>
      <c r="M215" s="31" t="s">
        <v>87</v>
      </c>
      <c r="N215" s="88">
        <v>0</v>
      </c>
      <c r="O215" s="86">
        <v>0</v>
      </c>
      <c r="P215" s="88">
        <v>0</v>
      </c>
      <c r="Q215" s="88">
        <v>0</v>
      </c>
      <c r="R215" s="88">
        <v>0</v>
      </c>
      <c r="S215" s="88">
        <v>0</v>
      </c>
      <c r="T215" s="86"/>
      <c r="U215" s="86">
        <v>0</v>
      </c>
      <c r="V215" s="87">
        <v>1.37237E-2</v>
      </c>
      <c r="W215" s="88">
        <v>0</v>
      </c>
      <c r="X215" s="88">
        <v>0</v>
      </c>
      <c r="Y215" s="88">
        <v>0</v>
      </c>
      <c r="Z215" s="88">
        <v>0</v>
      </c>
      <c r="AA215" s="86"/>
      <c r="AB215" s="87">
        <v>-1.5564145E-2</v>
      </c>
      <c r="AC215" s="87">
        <v>1.4082449E-2</v>
      </c>
      <c r="AD215" s="88">
        <v>0</v>
      </c>
      <c r="AE215" s="88">
        <v>0</v>
      </c>
      <c r="AF215" s="88">
        <v>0</v>
      </c>
      <c r="AG215" s="88">
        <v>0</v>
      </c>
    </row>
    <row r="216" spans="1:33" ht="15" customHeight="1" x14ac:dyDescent="0.35">
      <c r="A216" s="31" t="s">
        <v>88</v>
      </c>
      <c r="B216" s="37">
        <f t="shared" ref="B216:K216" si="51">(B203*B203)</f>
        <v>9.3704478949642664E-2</v>
      </c>
      <c r="C216" s="37">
        <f t="shared" si="51"/>
        <v>8.0949245859110383E-2</v>
      </c>
      <c r="D216" s="37">
        <f t="shared" si="51"/>
        <v>5.8818058688455251E-2</v>
      </c>
      <c r="E216" s="37">
        <f t="shared" si="51"/>
        <v>179.99204944555669</v>
      </c>
      <c r="F216" s="37">
        <f t="shared" si="51"/>
        <v>222.44588995401739</v>
      </c>
      <c r="G216" s="37">
        <f t="shared" si="51"/>
        <v>182.84735059676072</v>
      </c>
      <c r="H216" s="37">
        <f t="shared" si="51"/>
        <v>1.7950694364981545</v>
      </c>
      <c r="I216" s="37">
        <f t="shared" si="51"/>
        <v>3.7199520858643809E-2</v>
      </c>
      <c r="J216" s="37">
        <f t="shared" si="51"/>
        <v>222.44588995401739</v>
      </c>
      <c r="K216" s="37">
        <f t="shared" si="51"/>
        <v>182.84735059676072</v>
      </c>
      <c r="M216" s="31" t="s">
        <v>88</v>
      </c>
      <c r="N216" s="88">
        <v>0</v>
      </c>
      <c r="O216" s="86">
        <v>0</v>
      </c>
      <c r="P216" s="88">
        <v>0</v>
      </c>
      <c r="Q216" s="88">
        <v>0</v>
      </c>
      <c r="R216" s="88">
        <v>0</v>
      </c>
      <c r="S216" s="88">
        <v>0</v>
      </c>
      <c r="T216" s="86"/>
      <c r="U216" s="86">
        <v>0</v>
      </c>
      <c r="V216" s="87">
        <v>1.3914446E-2</v>
      </c>
      <c r="W216" s="88">
        <v>0</v>
      </c>
      <c r="X216" s="88">
        <v>0</v>
      </c>
      <c r="Y216" s="88">
        <v>0</v>
      </c>
      <c r="Z216" s="88">
        <v>0</v>
      </c>
      <c r="AA216" s="86"/>
      <c r="AB216" s="86">
        <v>0</v>
      </c>
      <c r="AC216" s="87">
        <v>1.5215598E-2</v>
      </c>
      <c r="AD216" s="88">
        <v>0</v>
      </c>
      <c r="AE216" s="88">
        <v>0</v>
      </c>
      <c r="AF216" s="88">
        <v>0</v>
      </c>
      <c r="AG216" s="88">
        <v>0</v>
      </c>
    </row>
    <row r="217" spans="1:33" ht="15" customHeight="1" x14ac:dyDescent="0.35">
      <c r="A217" s="31" t="s">
        <v>89</v>
      </c>
      <c r="B217" s="37">
        <f t="shared" ref="B217:K217" si="52">(B203*B206)</f>
        <v>-0.27445318495561366</v>
      </c>
      <c r="C217" s="37">
        <f t="shared" si="52"/>
        <v>-0.10570251659456065</v>
      </c>
      <c r="D217" s="37">
        <f t="shared" si="52"/>
        <v>-8.6081899698473643E-2</v>
      </c>
      <c r="E217" s="37">
        <f t="shared" si="52"/>
        <v>9.6907828298021901</v>
      </c>
      <c r="F217" s="37">
        <f t="shared" si="52"/>
        <v>18.343621063662258</v>
      </c>
      <c r="G217" s="37">
        <f t="shared" si="52"/>
        <v>16.616125511911932</v>
      </c>
      <c r="H217" s="37">
        <f t="shared" si="52"/>
        <v>1.6478341675523527</v>
      </c>
      <c r="I217" s="37">
        <f t="shared" si="52"/>
        <v>-0.23700314065118766</v>
      </c>
      <c r="J217" s="37">
        <f t="shared" si="52"/>
        <v>18.343621063662258</v>
      </c>
      <c r="K217" s="37">
        <f t="shared" si="52"/>
        <v>16.616125511911932</v>
      </c>
      <c r="M217" s="31" t="s">
        <v>89</v>
      </c>
      <c r="N217" s="88">
        <v>0</v>
      </c>
      <c r="O217" s="86">
        <v>0</v>
      </c>
      <c r="P217" s="88">
        <v>0</v>
      </c>
      <c r="Q217" s="88">
        <v>0</v>
      </c>
      <c r="R217" s="88">
        <v>0</v>
      </c>
      <c r="S217" s="88">
        <v>0</v>
      </c>
      <c r="T217" s="86"/>
      <c r="U217" s="86">
        <v>0</v>
      </c>
      <c r="V217" s="86">
        <v>0</v>
      </c>
      <c r="W217" s="88">
        <v>0</v>
      </c>
      <c r="X217" s="88">
        <v>0</v>
      </c>
      <c r="Y217" s="88">
        <v>0</v>
      </c>
      <c r="Z217" s="88">
        <v>0</v>
      </c>
      <c r="AA217" s="86"/>
      <c r="AB217" s="86">
        <v>0</v>
      </c>
      <c r="AC217" s="87">
        <v>1.3372492E-2</v>
      </c>
      <c r="AD217" s="88">
        <v>0</v>
      </c>
      <c r="AE217" s="88">
        <v>0</v>
      </c>
      <c r="AF217" s="88">
        <v>0</v>
      </c>
      <c r="AG217" s="88">
        <v>0</v>
      </c>
    </row>
    <row r="218" spans="1:33" ht="15" customHeight="1" x14ac:dyDescent="0.35">
      <c r="A218" s="31" t="s">
        <v>90</v>
      </c>
      <c r="B218" s="37">
        <f t="shared" ref="B218:K218" si="53">(B201*B203)</f>
        <v>0.80539641569873988</v>
      </c>
      <c r="C218" s="37">
        <f t="shared" si="53"/>
        <v>0.43693177032107156</v>
      </c>
      <c r="D218" s="37">
        <f t="shared" si="53"/>
        <v>0.32817847080856877</v>
      </c>
      <c r="E218" s="37">
        <f t="shared" si="53"/>
        <v>35.298494141000106</v>
      </c>
      <c r="F218" s="37">
        <f t="shared" si="53"/>
        <v>22.90442606560589</v>
      </c>
      <c r="G218" s="37">
        <f t="shared" si="53"/>
        <v>18.297808573248961</v>
      </c>
      <c r="H218" s="37">
        <f t="shared" si="53"/>
        <v>2.0575379162104683</v>
      </c>
      <c r="I218" s="37">
        <f t="shared" si="53"/>
        <v>-0.26098972927144415</v>
      </c>
      <c r="J218" s="37">
        <f t="shared" si="53"/>
        <v>22.90442606560589</v>
      </c>
      <c r="K218" s="37">
        <f t="shared" si="53"/>
        <v>18.297808573248961</v>
      </c>
      <c r="M218" s="31" t="s">
        <v>90</v>
      </c>
      <c r="N218" s="88">
        <v>0</v>
      </c>
      <c r="O218" s="86">
        <v>0</v>
      </c>
      <c r="P218" s="88">
        <v>0</v>
      </c>
      <c r="Q218" s="88">
        <v>0</v>
      </c>
      <c r="R218" s="88">
        <v>0</v>
      </c>
      <c r="S218" s="88">
        <v>0</v>
      </c>
      <c r="T218" s="86"/>
      <c r="U218" s="86">
        <v>0</v>
      </c>
      <c r="V218" s="86">
        <v>0</v>
      </c>
      <c r="W218" s="88">
        <v>0</v>
      </c>
      <c r="X218" s="88">
        <v>0</v>
      </c>
      <c r="Y218" s="88">
        <v>0</v>
      </c>
      <c r="Z218" s="88">
        <v>0</v>
      </c>
      <c r="AA218" s="86"/>
      <c r="AB218" s="86">
        <v>0</v>
      </c>
      <c r="AC218" s="86">
        <v>0</v>
      </c>
      <c r="AD218" s="88">
        <v>0</v>
      </c>
      <c r="AE218" s="88">
        <v>0</v>
      </c>
      <c r="AF218" s="88">
        <v>0</v>
      </c>
      <c r="AG218" s="88">
        <v>0</v>
      </c>
    </row>
    <row r="219" spans="1:33" ht="15" customHeight="1" x14ac:dyDescent="0.35">
      <c r="A219" s="31" t="s">
        <v>91</v>
      </c>
      <c r="B219" s="37">
        <f t="shared" ref="B219:K219" si="54">(B203*B204)</f>
        <v>0.18379908070345097</v>
      </c>
      <c r="C219" s="37">
        <f t="shared" si="54"/>
        <v>9.5811380583186084E-2</v>
      </c>
      <c r="D219" s="37">
        <f t="shared" si="54"/>
        <v>6.8930391902335242E-2</v>
      </c>
      <c r="E219" s="37">
        <f t="shared" si="54"/>
        <v>46.687227423054594</v>
      </c>
      <c r="F219" s="37">
        <f t="shared" si="54"/>
        <v>59.211539945077028</v>
      </c>
      <c r="G219" s="37">
        <f t="shared" si="54"/>
        <v>55.060937049654171</v>
      </c>
      <c r="H219" s="37">
        <f t="shared" si="54"/>
        <v>14.139652335341339</v>
      </c>
      <c r="I219" s="37">
        <f t="shared" si="54"/>
        <v>-2.1149419374491174</v>
      </c>
      <c r="J219" s="37">
        <f t="shared" si="54"/>
        <v>59.211539945077028</v>
      </c>
      <c r="K219" s="37">
        <f t="shared" si="54"/>
        <v>55.060937049654171</v>
      </c>
      <c r="M219" s="31" t="s">
        <v>91</v>
      </c>
      <c r="N219" s="88">
        <v>0</v>
      </c>
      <c r="O219" s="86">
        <v>1.66061796E-2</v>
      </c>
      <c r="P219" s="88">
        <v>0</v>
      </c>
      <c r="Q219" s="88">
        <v>0</v>
      </c>
      <c r="R219" s="88">
        <v>0</v>
      </c>
      <c r="S219" s="88">
        <v>0</v>
      </c>
      <c r="T219" s="86"/>
      <c r="U219" s="86">
        <v>-2.8916324E-3</v>
      </c>
      <c r="V219" s="86">
        <v>0</v>
      </c>
      <c r="W219" s="88">
        <v>0</v>
      </c>
      <c r="X219" s="88">
        <v>0</v>
      </c>
      <c r="Y219" s="88">
        <v>0</v>
      </c>
      <c r="Z219" s="88">
        <v>0</v>
      </c>
      <c r="AA219" s="86"/>
      <c r="AB219" s="86">
        <v>0</v>
      </c>
      <c r="AC219" s="86">
        <v>0</v>
      </c>
      <c r="AD219" s="88">
        <v>0</v>
      </c>
      <c r="AE219" s="88">
        <v>0</v>
      </c>
      <c r="AF219" s="88">
        <v>0</v>
      </c>
      <c r="AG219" s="88">
        <v>0</v>
      </c>
    </row>
    <row r="220" spans="1:33" ht="15" customHeight="1" x14ac:dyDescent="0.35">
      <c r="A220" s="31" t="s">
        <v>92</v>
      </c>
      <c r="B220" s="37">
        <f t="shared" ref="B220:K220" si="55">(B204*B204)</f>
        <v>0.36051747414964425</v>
      </c>
      <c r="C220" s="37">
        <f t="shared" si="55"/>
        <v>0.11340217628751374</v>
      </c>
      <c r="D220" s="37">
        <f t="shared" si="55"/>
        <v>8.0781294618656338E-2</v>
      </c>
      <c r="E220" s="37">
        <f t="shared" si="55"/>
        <v>12.109963807658778</v>
      </c>
      <c r="F220" s="37">
        <f t="shared" si="55"/>
        <v>15.76116539349049</v>
      </c>
      <c r="G220" s="37">
        <f t="shared" si="55"/>
        <v>16.580534412401207</v>
      </c>
      <c r="H220" s="37">
        <f t="shared" si="55"/>
        <v>111.37717800730285</v>
      </c>
      <c r="I220" s="37">
        <f t="shared" si="55"/>
        <v>120.24293043391899</v>
      </c>
      <c r="J220" s="37">
        <f t="shared" si="55"/>
        <v>15.76116539349049</v>
      </c>
      <c r="K220" s="37">
        <f t="shared" si="55"/>
        <v>16.580534412401207</v>
      </c>
      <c r="M220" s="31" t="s">
        <v>92</v>
      </c>
      <c r="N220" s="88">
        <v>0</v>
      </c>
      <c r="O220" s="86">
        <v>0</v>
      </c>
      <c r="P220" s="88">
        <v>0</v>
      </c>
      <c r="Q220" s="88">
        <v>0</v>
      </c>
      <c r="R220" s="88">
        <v>0</v>
      </c>
      <c r="S220" s="88">
        <v>0</v>
      </c>
      <c r="T220" s="86"/>
      <c r="U220" s="86">
        <v>0</v>
      </c>
      <c r="V220" s="87">
        <v>-1.0999478E-2</v>
      </c>
      <c r="W220" s="88">
        <v>0</v>
      </c>
      <c r="X220" s="88">
        <v>0</v>
      </c>
      <c r="Y220" s="88">
        <v>0</v>
      </c>
      <c r="Z220" s="88">
        <v>0</v>
      </c>
      <c r="AA220" s="86"/>
      <c r="AB220" s="86">
        <v>0</v>
      </c>
      <c r="AC220" s="87">
        <v>-9.7397089999999992E-3</v>
      </c>
      <c r="AD220" s="88">
        <v>0</v>
      </c>
      <c r="AE220" s="88">
        <v>0</v>
      </c>
      <c r="AF220" s="88">
        <v>0</v>
      </c>
      <c r="AG220" s="88">
        <v>0</v>
      </c>
    </row>
    <row r="221" spans="1:33" ht="15" customHeight="1" x14ac:dyDescent="0.35">
      <c r="A221" s="31" t="s">
        <v>93</v>
      </c>
      <c r="B221" s="37">
        <f t="shared" ref="B221:K221" si="56">(B208*B206)</f>
        <v>-0.84670316554450453</v>
      </c>
      <c r="C221" s="37">
        <f t="shared" si="56"/>
        <v>-0.36426661608741473</v>
      </c>
      <c r="D221" s="37">
        <f t="shared" si="56"/>
        <v>-0.31392547831116296</v>
      </c>
      <c r="E221" s="37">
        <f t="shared" si="56"/>
        <v>0.79612667008484239</v>
      </c>
      <c r="F221" s="37">
        <f t="shared" si="56"/>
        <v>1.3857294047937243</v>
      </c>
      <c r="G221" s="37">
        <f t="shared" si="56"/>
        <v>1.2612228023467469</v>
      </c>
      <c r="H221" s="37">
        <f t="shared" si="56"/>
        <v>1.3857294047937243</v>
      </c>
      <c r="I221" s="37">
        <f t="shared" si="56"/>
        <v>1.2612228023467469</v>
      </c>
      <c r="J221" s="37">
        <f t="shared" si="56"/>
        <v>1.3857294047937243</v>
      </c>
      <c r="K221" s="37">
        <f t="shared" si="56"/>
        <v>1.2612228023467469</v>
      </c>
      <c r="M221" s="31" t="s">
        <v>93</v>
      </c>
      <c r="N221" s="88">
        <v>0</v>
      </c>
      <c r="O221" s="86">
        <v>0</v>
      </c>
      <c r="P221" s="88">
        <v>0</v>
      </c>
      <c r="Q221" s="88">
        <v>0</v>
      </c>
      <c r="R221" s="88">
        <v>0</v>
      </c>
      <c r="S221" s="88">
        <v>0</v>
      </c>
      <c r="T221" s="86"/>
      <c r="U221" s="86">
        <v>0</v>
      </c>
      <c r="V221" s="86">
        <v>0</v>
      </c>
      <c r="W221" s="88">
        <v>0</v>
      </c>
      <c r="X221" s="88">
        <v>0</v>
      </c>
      <c r="Y221" s="88">
        <v>0</v>
      </c>
      <c r="Z221" s="88">
        <v>0</v>
      </c>
      <c r="AA221" s="86"/>
      <c r="AB221" s="86">
        <v>0</v>
      </c>
      <c r="AC221" s="86">
        <v>0</v>
      </c>
      <c r="AD221" s="88">
        <v>0</v>
      </c>
      <c r="AE221" s="88">
        <v>0</v>
      </c>
      <c r="AF221" s="88">
        <v>0</v>
      </c>
      <c r="AG221" s="88">
        <v>0</v>
      </c>
    </row>
    <row r="222" spans="1:33" ht="15" customHeight="1" x14ac:dyDescent="0.35">
      <c r="A222" s="31" t="s">
        <v>94</v>
      </c>
      <c r="B222" s="37">
        <f t="shared" ref="B222:K222" si="57">(B204*B206)</f>
        <v>-0.53833331828337705</v>
      </c>
      <c r="C222" s="37">
        <f t="shared" si="57"/>
        <v>-0.12510930693126648</v>
      </c>
      <c r="D222" s="37">
        <f t="shared" si="57"/>
        <v>-0.10088158661173145</v>
      </c>
      <c r="E222" s="37">
        <f t="shared" si="57"/>
        <v>2.5136431485506168</v>
      </c>
      <c r="F222" s="37">
        <f t="shared" si="57"/>
        <v>4.88277869091183</v>
      </c>
      <c r="G222" s="37">
        <f t="shared" si="57"/>
        <v>5.0036242681918504</v>
      </c>
      <c r="H222" s="37">
        <f t="shared" si="57"/>
        <v>12.979889112780196</v>
      </c>
      <c r="I222" s="37">
        <f t="shared" si="57"/>
        <v>13.474578970386839</v>
      </c>
      <c r="J222" s="37">
        <f t="shared" si="57"/>
        <v>4.88277869091183</v>
      </c>
      <c r="K222" s="37">
        <f t="shared" si="57"/>
        <v>5.0036242681918504</v>
      </c>
      <c r="M222" s="31" t="s">
        <v>94</v>
      </c>
      <c r="N222" s="88">
        <v>0</v>
      </c>
      <c r="O222" s="86">
        <v>0</v>
      </c>
      <c r="P222" s="88">
        <v>0</v>
      </c>
      <c r="Q222" s="88">
        <v>0</v>
      </c>
      <c r="R222" s="88">
        <v>0</v>
      </c>
      <c r="S222" s="88">
        <v>0</v>
      </c>
      <c r="T222" s="86"/>
      <c r="U222" s="86">
        <v>0</v>
      </c>
      <c r="V222" s="87">
        <v>7.2214460000000003E-3</v>
      </c>
      <c r="W222" s="88">
        <v>0</v>
      </c>
      <c r="X222" s="88">
        <v>0</v>
      </c>
      <c r="Y222" s="88">
        <v>0</v>
      </c>
      <c r="Z222" s="88">
        <v>0</v>
      </c>
      <c r="AA222" s="86"/>
      <c r="AB222" s="86">
        <v>0</v>
      </c>
      <c r="AC222" s="87">
        <v>6.9016360000000001E-3</v>
      </c>
      <c r="AD222" s="88">
        <v>0</v>
      </c>
      <c r="AE222" s="88">
        <v>0</v>
      </c>
      <c r="AF222" s="88">
        <v>0</v>
      </c>
      <c r="AG222" s="88">
        <v>0</v>
      </c>
    </row>
    <row r="223" spans="1:33" ht="15" customHeight="1" x14ac:dyDescent="0.35">
      <c r="A223" s="31" t="s">
        <v>95</v>
      </c>
      <c r="B223" s="37">
        <f t="shared" ref="B223:K223" si="58">(B204*B208)</f>
        <v>0.56703026959206249</v>
      </c>
      <c r="C223" s="37">
        <f t="shared" si="58"/>
        <v>0.33018028815310718</v>
      </c>
      <c r="D223" s="37">
        <f t="shared" si="58"/>
        <v>0.2513769598941622</v>
      </c>
      <c r="E223" s="37">
        <f t="shared" si="58"/>
        <v>3.8354947744266896</v>
      </c>
      <c r="F223" s="37">
        <f t="shared" si="58"/>
        <v>4.4730084491087991</v>
      </c>
      <c r="G223" s="37">
        <f t="shared" si="58"/>
        <v>4.1793202197358754</v>
      </c>
      <c r="H223" s="37">
        <f t="shared" si="58"/>
        <v>11.890597003305698</v>
      </c>
      <c r="I223" s="37">
        <f t="shared" si="58"/>
        <v>11.254758016375961</v>
      </c>
      <c r="J223" s="37">
        <f t="shared" si="58"/>
        <v>4.4730084491087991</v>
      </c>
      <c r="K223" s="37">
        <f t="shared" si="58"/>
        <v>4.1793202197358754</v>
      </c>
      <c r="M223" s="31" t="s">
        <v>95</v>
      </c>
      <c r="N223" s="88">
        <v>0</v>
      </c>
      <c r="O223" s="87">
        <v>0</v>
      </c>
      <c r="P223" s="88">
        <v>0</v>
      </c>
      <c r="Q223" s="88">
        <v>0</v>
      </c>
      <c r="R223" s="88">
        <v>0</v>
      </c>
      <c r="S223" s="88">
        <v>0</v>
      </c>
      <c r="T223" s="86"/>
      <c r="U223" s="86">
        <v>0</v>
      </c>
      <c r="V223" s="86">
        <v>0</v>
      </c>
      <c r="W223" s="88">
        <v>0</v>
      </c>
      <c r="X223" s="88">
        <v>0</v>
      </c>
      <c r="Y223" s="88">
        <v>0</v>
      </c>
      <c r="Z223" s="88">
        <v>0</v>
      </c>
      <c r="AA223" s="86"/>
      <c r="AB223" s="86">
        <v>0</v>
      </c>
      <c r="AC223" s="86">
        <v>0</v>
      </c>
      <c r="AD223" s="88">
        <v>0</v>
      </c>
      <c r="AE223" s="88">
        <v>0</v>
      </c>
      <c r="AF223" s="88">
        <v>0</v>
      </c>
      <c r="AG223" s="88">
        <v>0</v>
      </c>
    </row>
    <row r="224" spans="1:33" ht="15" customHeight="1" x14ac:dyDescent="0.35">
      <c r="A224" s="31" t="s">
        <v>96</v>
      </c>
      <c r="B224" s="37">
        <f t="shared" ref="B224:K224" si="59">(B205*B203)</f>
        <v>7.7305386594089115E-2</v>
      </c>
      <c r="C224" s="37">
        <f t="shared" si="59"/>
        <v>3.3152868248944423E-2</v>
      </c>
      <c r="D224" s="37">
        <f t="shared" si="59"/>
        <v>1.3784259193782114E-2</v>
      </c>
      <c r="E224" s="37">
        <f t="shared" si="59"/>
        <v>18.339734626073202</v>
      </c>
      <c r="F224" s="37">
        <f t="shared" si="59"/>
        <v>20.71588780991096</v>
      </c>
      <c r="G224" s="37">
        <f t="shared" si="59"/>
        <v>19.075290941877398</v>
      </c>
      <c r="H224" s="37">
        <f t="shared" si="59"/>
        <v>1.8609383406842641</v>
      </c>
      <c r="I224" s="37">
        <f t="shared" si="59"/>
        <v>-0.27207930385570961</v>
      </c>
      <c r="J224" s="37">
        <f t="shared" si="59"/>
        <v>20.71588780991096</v>
      </c>
      <c r="K224" s="37">
        <f t="shared" si="59"/>
        <v>19.075290941877398</v>
      </c>
      <c r="M224" s="31" t="s">
        <v>96</v>
      </c>
      <c r="N224" s="88">
        <v>0</v>
      </c>
      <c r="O224" s="86">
        <v>0</v>
      </c>
      <c r="P224" s="88">
        <v>0</v>
      </c>
      <c r="Q224" s="88">
        <v>0</v>
      </c>
      <c r="R224" s="88">
        <v>0</v>
      </c>
      <c r="S224" s="88">
        <v>0</v>
      </c>
      <c r="T224" s="86"/>
      <c r="U224" s="86">
        <v>0</v>
      </c>
      <c r="V224" s="86">
        <v>0</v>
      </c>
      <c r="W224" s="88">
        <v>0</v>
      </c>
      <c r="X224" s="88">
        <v>0</v>
      </c>
      <c r="Y224" s="88">
        <v>0</v>
      </c>
      <c r="Z224" s="88">
        <v>0</v>
      </c>
      <c r="AA224" s="86"/>
      <c r="AB224" s="86">
        <v>0</v>
      </c>
      <c r="AC224" s="86">
        <v>0</v>
      </c>
      <c r="AD224" s="88">
        <v>0</v>
      </c>
      <c r="AE224" s="88">
        <v>0</v>
      </c>
      <c r="AF224" s="88">
        <v>0</v>
      </c>
      <c r="AG224" s="88">
        <v>0</v>
      </c>
    </row>
    <row r="225" spans="1:33" ht="15" customHeight="1" x14ac:dyDescent="0.35">
      <c r="A225" s="31" t="s">
        <v>97</v>
      </c>
      <c r="B225" s="37">
        <f t="shared" ref="B225:K225" si="60">(B206*B206)</f>
        <v>0.80385219123581209</v>
      </c>
      <c r="C225" s="37">
        <f t="shared" si="60"/>
        <v>0.13802502908883996</v>
      </c>
      <c r="D225" s="37">
        <f t="shared" si="60"/>
        <v>0.12598330548356781</v>
      </c>
      <c r="E225" s="37">
        <f t="shared" si="60"/>
        <v>0.52175233374846863</v>
      </c>
      <c r="F225" s="37">
        <f t="shared" si="60"/>
        <v>1.512675436695146</v>
      </c>
      <c r="G225" s="37">
        <f t="shared" si="60"/>
        <v>1.5099788218233103</v>
      </c>
      <c r="H225" s="37">
        <f t="shared" si="60"/>
        <v>1.512675436695146</v>
      </c>
      <c r="I225" s="37">
        <f t="shared" si="60"/>
        <v>1.5099788218233103</v>
      </c>
      <c r="J225" s="37">
        <f t="shared" si="60"/>
        <v>1.512675436695146</v>
      </c>
      <c r="K225" s="37">
        <f t="shared" si="60"/>
        <v>1.5099788218233103</v>
      </c>
      <c r="M225" s="31" t="s">
        <v>97</v>
      </c>
      <c r="N225" s="88">
        <v>0</v>
      </c>
      <c r="O225" s="86">
        <v>0</v>
      </c>
      <c r="P225" s="88">
        <v>0</v>
      </c>
      <c r="Q225" s="88">
        <v>0</v>
      </c>
      <c r="R225" s="88">
        <v>0</v>
      </c>
      <c r="S225" s="88">
        <v>0</v>
      </c>
      <c r="T225" s="86"/>
      <c r="U225" s="87">
        <v>1.0736929399999999E-2</v>
      </c>
      <c r="V225" s="86">
        <v>0</v>
      </c>
      <c r="W225" s="88">
        <v>0</v>
      </c>
      <c r="X225" s="88">
        <v>0</v>
      </c>
      <c r="Y225" s="88">
        <v>0</v>
      </c>
      <c r="Z225" s="88">
        <v>0</v>
      </c>
      <c r="AA225" s="87"/>
      <c r="AB225" s="87">
        <v>1.5198559E-2</v>
      </c>
      <c r="AC225" s="86">
        <v>0</v>
      </c>
      <c r="AD225" s="88">
        <v>0</v>
      </c>
      <c r="AE225" s="88">
        <v>0</v>
      </c>
      <c r="AF225" s="88">
        <v>0</v>
      </c>
      <c r="AG225" s="88">
        <v>0</v>
      </c>
    </row>
    <row r="226" spans="1:33" ht="15" customHeight="1" x14ac:dyDescent="0.35">
      <c r="A226" s="31" t="s">
        <v>98</v>
      </c>
      <c r="B226" s="37">
        <f t="shared" ref="B226:K226" si="61">(B208*B208)</f>
        <v>0.89183839810269105</v>
      </c>
      <c r="C226" s="37">
        <f t="shared" si="61"/>
        <v>0.96134859359725133</v>
      </c>
      <c r="D226" s="37">
        <f t="shared" si="61"/>
        <v>0.78224019884719076</v>
      </c>
      <c r="E226" s="37">
        <f t="shared" si="61"/>
        <v>1.214786468259357</v>
      </c>
      <c r="F226" s="37">
        <f t="shared" si="61"/>
        <v>1.2694368776855878</v>
      </c>
      <c r="G226" s="37">
        <f t="shared" si="61"/>
        <v>1.0534471968544696</v>
      </c>
      <c r="H226" s="37">
        <f t="shared" si="61"/>
        <v>1.2694368776855878</v>
      </c>
      <c r="I226" s="37">
        <f t="shared" si="61"/>
        <v>1.0534471968544696</v>
      </c>
      <c r="J226" s="37">
        <f t="shared" si="61"/>
        <v>1.2694368776855878</v>
      </c>
      <c r="K226" s="37">
        <f t="shared" si="61"/>
        <v>1.0534471968544696</v>
      </c>
      <c r="M226" s="31" t="s">
        <v>98</v>
      </c>
      <c r="N226" s="88">
        <v>0</v>
      </c>
      <c r="O226" s="86">
        <v>0</v>
      </c>
      <c r="P226" s="88">
        <v>0</v>
      </c>
      <c r="Q226" s="88">
        <v>0</v>
      </c>
      <c r="R226" s="88">
        <v>0</v>
      </c>
      <c r="S226" s="88">
        <v>0</v>
      </c>
      <c r="T226" s="86"/>
      <c r="U226" s="86">
        <v>0</v>
      </c>
      <c r="V226" s="86">
        <v>0</v>
      </c>
      <c r="W226" s="88">
        <v>0</v>
      </c>
      <c r="X226" s="88">
        <v>0</v>
      </c>
      <c r="Y226" s="88">
        <v>0</v>
      </c>
      <c r="Z226" s="88">
        <v>0</v>
      </c>
      <c r="AA226" s="86"/>
      <c r="AB226" s="86">
        <v>0</v>
      </c>
      <c r="AC226" s="86">
        <v>0</v>
      </c>
      <c r="AD226" s="88">
        <v>0</v>
      </c>
      <c r="AE226" s="88">
        <v>0</v>
      </c>
      <c r="AF226" s="88">
        <v>0</v>
      </c>
      <c r="AG226" s="88">
        <v>0</v>
      </c>
    </row>
    <row r="227" spans="1:33" ht="15" customHeight="1" x14ac:dyDescent="0.35">
      <c r="A227" s="31" t="s">
        <v>99</v>
      </c>
      <c r="B227" s="37">
        <f t="shared" ref="B227:K227" si="62">(B201*B205)</f>
        <v>0.66444509350022085</v>
      </c>
      <c r="C227" s="37">
        <f t="shared" si="62"/>
        <v>0.17894597116376057</v>
      </c>
      <c r="D227" s="37">
        <f t="shared" si="62"/>
        <v>7.6910003565491283E-2</v>
      </c>
      <c r="E227" s="37">
        <f t="shared" si="62"/>
        <v>3.5966311692103616</v>
      </c>
      <c r="F227" s="37">
        <f t="shared" si="62"/>
        <v>2.1330379303639844</v>
      </c>
      <c r="G227" s="37">
        <f t="shared" si="62"/>
        <v>1.9088929699793304</v>
      </c>
      <c r="H227" s="37">
        <f t="shared" si="62"/>
        <v>2.1330379303639844</v>
      </c>
      <c r="I227" s="37">
        <f t="shared" si="62"/>
        <v>1.9088929699793304</v>
      </c>
      <c r="J227" s="37">
        <f t="shared" si="62"/>
        <v>2.1330379303639844</v>
      </c>
      <c r="K227" s="37">
        <f t="shared" si="62"/>
        <v>1.9088929699793304</v>
      </c>
      <c r="M227" s="31" t="s">
        <v>99</v>
      </c>
      <c r="N227" s="88">
        <v>0</v>
      </c>
      <c r="O227" s="86">
        <v>0</v>
      </c>
      <c r="P227" s="88">
        <v>0</v>
      </c>
      <c r="Q227" s="88">
        <v>0</v>
      </c>
      <c r="R227" s="88">
        <v>0</v>
      </c>
      <c r="S227" s="88">
        <v>0</v>
      </c>
      <c r="T227" s="86"/>
      <c r="U227" s="86">
        <v>0</v>
      </c>
      <c r="V227" s="86">
        <v>0</v>
      </c>
      <c r="W227" s="88">
        <v>0</v>
      </c>
      <c r="X227" s="88">
        <v>0</v>
      </c>
      <c r="Y227" s="88">
        <v>0</v>
      </c>
      <c r="Z227" s="88">
        <v>0</v>
      </c>
      <c r="AA227" s="86"/>
      <c r="AB227" s="86">
        <v>0</v>
      </c>
      <c r="AC227" s="86">
        <v>0</v>
      </c>
      <c r="AD227" s="88">
        <v>0</v>
      </c>
      <c r="AE227" s="88">
        <v>0</v>
      </c>
      <c r="AF227" s="88">
        <v>0</v>
      </c>
      <c r="AG227" s="88">
        <v>0</v>
      </c>
    </row>
    <row r="228" spans="1:33" ht="15" customHeight="1" x14ac:dyDescent="0.35">
      <c r="A228" s="31" t="s">
        <v>100</v>
      </c>
      <c r="B228" s="37">
        <f t="shared" ref="B228:K228" si="63">(B205*B205)</f>
        <v>6.3776276902123077E-2</v>
      </c>
      <c r="C228" s="37">
        <f t="shared" si="63"/>
        <v>1.3577800033428828E-2</v>
      </c>
      <c r="D228" s="37">
        <f t="shared" si="63"/>
        <v>3.2303990603936893E-3</v>
      </c>
      <c r="E228" s="37">
        <f t="shared" si="63"/>
        <v>1.868670684015546</v>
      </c>
      <c r="F228" s="37">
        <f t="shared" si="63"/>
        <v>1.9292242614216348</v>
      </c>
      <c r="G228" s="37">
        <f t="shared" si="63"/>
        <v>1.9900027171830186</v>
      </c>
      <c r="H228" s="37">
        <f t="shared" si="63"/>
        <v>1.9292242614216348</v>
      </c>
      <c r="I228" s="37">
        <f t="shared" si="63"/>
        <v>1.9900027171830186</v>
      </c>
      <c r="J228" s="37">
        <f t="shared" si="63"/>
        <v>1.9292242614216348</v>
      </c>
      <c r="K228" s="37">
        <f t="shared" si="63"/>
        <v>1.9900027171830186</v>
      </c>
      <c r="M228" s="31" t="s">
        <v>100</v>
      </c>
      <c r="N228" s="88">
        <v>0</v>
      </c>
      <c r="O228" s="86">
        <v>0</v>
      </c>
      <c r="P228" s="88">
        <v>0</v>
      </c>
      <c r="Q228" s="88">
        <v>0</v>
      </c>
      <c r="R228" s="88">
        <v>0</v>
      </c>
      <c r="S228" s="88">
        <v>0</v>
      </c>
      <c r="T228" s="86"/>
      <c r="U228" s="86">
        <v>0</v>
      </c>
      <c r="V228" s="86">
        <v>0</v>
      </c>
      <c r="W228" s="88">
        <v>0</v>
      </c>
      <c r="X228" s="88">
        <v>0</v>
      </c>
      <c r="Y228" s="88">
        <v>0</v>
      </c>
      <c r="Z228" s="88">
        <v>0</v>
      </c>
      <c r="AA228" s="86"/>
      <c r="AB228" s="86">
        <v>0</v>
      </c>
      <c r="AC228" s="86">
        <v>0</v>
      </c>
      <c r="AD228" s="88">
        <v>0</v>
      </c>
      <c r="AE228" s="88">
        <v>0</v>
      </c>
      <c r="AF228" s="88">
        <v>0</v>
      </c>
      <c r="AG228" s="88">
        <v>0</v>
      </c>
    </row>
    <row r="229" spans="1:33" ht="15" customHeight="1" x14ac:dyDescent="0.35">
      <c r="A229" s="31" t="s">
        <v>101</v>
      </c>
      <c r="B229" s="37">
        <f t="shared" ref="B229:K229" si="64">(B201*B208)</f>
        <v>2.4846922246524747</v>
      </c>
      <c r="C229" s="37">
        <f t="shared" si="64"/>
        <v>1.5057319594993488</v>
      </c>
      <c r="D229" s="37">
        <f t="shared" si="64"/>
        <v>1.196808896886284</v>
      </c>
      <c r="E229" s="37">
        <f t="shared" si="64"/>
        <v>2.8998764179361305</v>
      </c>
      <c r="F229" s="37">
        <f t="shared" si="64"/>
        <v>1.7302656105292022</v>
      </c>
      <c r="G229" s="37">
        <f t="shared" si="64"/>
        <v>1.3888685054174199</v>
      </c>
      <c r="H229" s="37">
        <f t="shared" si="64"/>
        <v>1.7302656105292022</v>
      </c>
      <c r="I229" s="37">
        <f t="shared" si="64"/>
        <v>1.3888685054174199</v>
      </c>
      <c r="J229" s="37">
        <f t="shared" si="64"/>
        <v>1.7302656105292022</v>
      </c>
      <c r="K229" s="37">
        <f t="shared" si="64"/>
        <v>1.3888685054174199</v>
      </c>
      <c r="M229" s="31" t="s">
        <v>101</v>
      </c>
      <c r="N229" s="88">
        <v>0</v>
      </c>
      <c r="O229" s="86">
        <v>0</v>
      </c>
      <c r="P229" s="88">
        <v>0</v>
      </c>
      <c r="Q229" s="88">
        <v>0</v>
      </c>
      <c r="R229" s="88">
        <v>0</v>
      </c>
      <c r="S229" s="88">
        <v>0</v>
      </c>
      <c r="T229" s="86"/>
      <c r="U229" s="86">
        <v>0</v>
      </c>
      <c r="V229" s="86">
        <v>0</v>
      </c>
      <c r="W229" s="88">
        <v>0</v>
      </c>
      <c r="X229" s="88">
        <v>0</v>
      </c>
      <c r="Y229" s="88">
        <v>0</v>
      </c>
      <c r="Z229" s="88">
        <v>0</v>
      </c>
      <c r="AA229" s="86"/>
      <c r="AB229" s="86">
        <v>0</v>
      </c>
      <c r="AC229" s="86">
        <v>0</v>
      </c>
      <c r="AD229" s="88">
        <v>0</v>
      </c>
      <c r="AE229" s="88">
        <v>0</v>
      </c>
      <c r="AF229" s="88">
        <v>0</v>
      </c>
      <c r="AG229" s="88">
        <v>0</v>
      </c>
    </row>
    <row r="230" spans="1:33" ht="15" customHeight="1" x14ac:dyDescent="0.35">
      <c r="A230" s="31" t="s">
        <v>102</v>
      </c>
      <c r="B230" s="37">
        <f t="shared" ref="B230:K230" si="65">(B203*B208)</f>
        <v>0.28908346960955178</v>
      </c>
      <c r="C230" s="37">
        <f t="shared" si="65"/>
        <v>0.27896315824748952</v>
      </c>
      <c r="D230" s="37">
        <f t="shared" si="65"/>
        <v>0.21449906742049712</v>
      </c>
      <c r="E230" s="37">
        <f t="shared" si="65"/>
        <v>14.786882905491995</v>
      </c>
      <c r="F230" s="37">
        <f t="shared" si="65"/>
        <v>16.804196380583623</v>
      </c>
      <c r="G230" s="37">
        <f t="shared" si="65"/>
        <v>13.878761794137978</v>
      </c>
      <c r="H230" s="37">
        <f t="shared" si="65"/>
        <v>1.5095454086237501</v>
      </c>
      <c r="I230" s="37">
        <f t="shared" si="65"/>
        <v>-0.19795891233502899</v>
      </c>
      <c r="J230" s="37">
        <f t="shared" si="65"/>
        <v>16.804196380583623</v>
      </c>
      <c r="K230" s="37">
        <f t="shared" si="65"/>
        <v>13.878761794137978</v>
      </c>
      <c r="M230" s="31" t="s">
        <v>102</v>
      </c>
      <c r="N230" s="88">
        <v>0</v>
      </c>
      <c r="O230" s="86">
        <v>0</v>
      </c>
      <c r="P230" s="88">
        <v>0</v>
      </c>
      <c r="Q230" s="88">
        <v>0</v>
      </c>
      <c r="R230" s="88">
        <v>0</v>
      </c>
      <c r="S230" s="88">
        <v>0</v>
      </c>
      <c r="T230" s="86"/>
      <c r="U230" s="86">
        <v>0</v>
      </c>
      <c r="V230" s="86">
        <v>0</v>
      </c>
      <c r="W230" s="88">
        <v>0</v>
      </c>
      <c r="X230" s="88">
        <v>0</v>
      </c>
      <c r="Y230" s="88">
        <v>0</v>
      </c>
      <c r="Z230" s="88">
        <v>0</v>
      </c>
      <c r="AA230" s="86"/>
      <c r="AB230" s="86">
        <v>0</v>
      </c>
      <c r="AC230" s="86">
        <v>0</v>
      </c>
      <c r="AD230" s="88">
        <v>0</v>
      </c>
      <c r="AE230" s="88">
        <v>0</v>
      </c>
      <c r="AF230" s="88">
        <v>0</v>
      </c>
      <c r="AG230" s="88">
        <v>0</v>
      </c>
    </row>
    <row r="231" spans="1:33" ht="15" customHeight="1" x14ac:dyDescent="0.35">
      <c r="A231" s="31" t="s">
        <v>103</v>
      </c>
      <c r="B231" s="37">
        <f t="shared" ref="B231:K231" si="66">(B203*B205)</f>
        <v>7.7305386594089115E-2</v>
      </c>
      <c r="C231" s="37">
        <f t="shared" si="66"/>
        <v>3.3152868248944423E-2</v>
      </c>
      <c r="D231" s="37">
        <f t="shared" si="66"/>
        <v>1.3784259193782114E-2</v>
      </c>
      <c r="E231" s="37">
        <f t="shared" si="66"/>
        <v>18.339734626073202</v>
      </c>
      <c r="F231" s="37">
        <f t="shared" si="66"/>
        <v>20.71588780991096</v>
      </c>
      <c r="G231" s="37">
        <f t="shared" si="66"/>
        <v>19.075290941877398</v>
      </c>
      <c r="H231" s="37">
        <f t="shared" si="66"/>
        <v>1.8609383406842641</v>
      </c>
      <c r="I231" s="37">
        <f t="shared" si="66"/>
        <v>-0.27207930385570961</v>
      </c>
      <c r="J231" s="37">
        <f t="shared" si="66"/>
        <v>20.71588780991096</v>
      </c>
      <c r="K231" s="37">
        <f t="shared" si="66"/>
        <v>19.075290941877398</v>
      </c>
      <c r="M231" s="31" t="s">
        <v>103</v>
      </c>
      <c r="N231" s="88">
        <v>0</v>
      </c>
      <c r="O231" s="87">
        <v>-7.9947976000000007E-3</v>
      </c>
      <c r="P231" s="88">
        <v>0</v>
      </c>
      <c r="Q231" s="88">
        <v>0</v>
      </c>
      <c r="R231" s="88">
        <v>0</v>
      </c>
      <c r="S231" s="88">
        <v>0</v>
      </c>
      <c r="T231" s="86"/>
      <c r="U231" s="86">
        <v>0</v>
      </c>
      <c r="V231" s="86">
        <v>0</v>
      </c>
      <c r="W231" s="88">
        <v>0</v>
      </c>
      <c r="X231" s="88">
        <v>0</v>
      </c>
      <c r="Y231" s="88">
        <v>0</v>
      </c>
      <c r="Z231" s="88">
        <v>0</v>
      </c>
      <c r="AA231" s="86"/>
      <c r="AB231" s="86">
        <v>0</v>
      </c>
      <c r="AC231" s="86">
        <v>0</v>
      </c>
      <c r="AD231" s="88">
        <v>0</v>
      </c>
      <c r="AE231" s="88">
        <v>0</v>
      </c>
      <c r="AF231" s="88">
        <v>0</v>
      </c>
      <c r="AG231" s="88">
        <v>0</v>
      </c>
    </row>
    <row r="232" spans="1:33" ht="15" customHeight="1" x14ac:dyDescent="0.35">
      <c r="A232" s="31" t="s">
        <v>186</v>
      </c>
      <c r="B232" s="37">
        <f t="shared" ref="B232:K232" si="67">B201*B201</f>
        <v>6.9224373657631988</v>
      </c>
      <c r="C232" s="37">
        <f t="shared" si="67"/>
        <v>2.3583835759035652</v>
      </c>
      <c r="D232" s="37">
        <f t="shared" si="67"/>
        <v>1.8310891434332579</v>
      </c>
      <c r="E232" s="37">
        <f t="shared" si="67"/>
        <v>6.9224373657631988</v>
      </c>
      <c r="F232" s="37">
        <f t="shared" si="67"/>
        <v>2.3583835759035652</v>
      </c>
      <c r="G232" s="37">
        <f t="shared" si="67"/>
        <v>1.8310891434332579</v>
      </c>
      <c r="H232" s="37">
        <f t="shared" si="67"/>
        <v>2.3583835759035652</v>
      </c>
      <c r="I232" s="37">
        <f t="shared" si="67"/>
        <v>1.8310891434332579</v>
      </c>
      <c r="J232" s="37">
        <f t="shared" si="67"/>
        <v>2.3583835759035652</v>
      </c>
      <c r="K232" s="37">
        <f t="shared" si="67"/>
        <v>1.8310891434332579</v>
      </c>
      <c r="M232" s="31" t="s">
        <v>186</v>
      </c>
      <c r="N232" s="88">
        <v>0</v>
      </c>
      <c r="O232" s="86">
        <v>0</v>
      </c>
      <c r="P232" s="88">
        <v>0</v>
      </c>
      <c r="Q232" s="88">
        <v>0</v>
      </c>
      <c r="R232" s="88">
        <v>0</v>
      </c>
      <c r="S232" s="88">
        <v>0</v>
      </c>
      <c r="T232" s="86"/>
      <c r="U232" s="86">
        <v>0</v>
      </c>
      <c r="V232" s="86">
        <v>0</v>
      </c>
      <c r="W232" s="88">
        <v>0</v>
      </c>
      <c r="X232" s="88">
        <v>0</v>
      </c>
      <c r="Y232" s="88">
        <v>0</v>
      </c>
      <c r="Z232" s="88">
        <v>0</v>
      </c>
      <c r="AA232" s="86"/>
      <c r="AB232" s="86">
        <v>0</v>
      </c>
      <c r="AC232" s="86">
        <v>0</v>
      </c>
      <c r="AD232" s="88">
        <v>0</v>
      </c>
      <c r="AE232" s="88">
        <v>0</v>
      </c>
      <c r="AF232" s="88">
        <v>0</v>
      </c>
      <c r="AG232" s="88">
        <v>0</v>
      </c>
    </row>
    <row r="233" spans="1:33" ht="15" customHeight="1" x14ac:dyDescent="0.35">
      <c r="Z233" s="89"/>
      <c r="AA233" s="89"/>
      <c r="AB233" s="89"/>
      <c r="AC233" s="89"/>
      <c r="AD233" s="89"/>
      <c r="AE233" s="89"/>
    </row>
    <row r="236" spans="1:33" ht="15" customHeight="1" x14ac:dyDescent="0.35">
      <c r="K236" s="31" t="s">
        <v>104</v>
      </c>
    </row>
    <row r="237" spans="1:33" ht="15" customHeight="1" x14ac:dyDescent="0.35">
      <c r="L237" s="31" t="s">
        <v>105</v>
      </c>
    </row>
    <row r="238" spans="1:33" ht="15" customHeight="1" x14ac:dyDescent="0.35">
      <c r="L238" s="31" t="s">
        <v>58</v>
      </c>
      <c r="M238" s="31" t="s">
        <v>58</v>
      </c>
      <c r="N238" s="31" t="s">
        <v>58</v>
      </c>
      <c r="O238" s="31" t="s">
        <v>58</v>
      </c>
      <c r="P238" s="31" t="s">
        <v>58</v>
      </c>
      <c r="Q238" s="31" t="s">
        <v>58</v>
      </c>
      <c r="R238" s="31" t="s">
        <v>58</v>
      </c>
      <c r="S238" s="31" t="s">
        <v>59</v>
      </c>
      <c r="T238" s="31" t="s">
        <v>59</v>
      </c>
      <c r="U238" s="31" t="s">
        <v>59</v>
      </c>
      <c r="V238" s="31" t="s">
        <v>59</v>
      </c>
      <c r="W238" s="31" t="s">
        <v>59</v>
      </c>
      <c r="X238" s="31" t="s">
        <v>59</v>
      </c>
      <c r="Y238" s="31" t="s">
        <v>59</v>
      </c>
      <c r="Z238" s="31" t="s">
        <v>60</v>
      </c>
      <c r="AA238" s="31" t="s">
        <v>60</v>
      </c>
      <c r="AB238" s="31" t="s">
        <v>60</v>
      </c>
      <c r="AC238" s="31" t="s">
        <v>60</v>
      </c>
      <c r="AD238" s="31" t="s">
        <v>60</v>
      </c>
      <c r="AE238" s="31" t="s">
        <v>60</v>
      </c>
      <c r="AF238" s="31" t="s">
        <v>60</v>
      </c>
    </row>
    <row r="239" spans="1:33" ht="15" customHeight="1" x14ac:dyDescent="0.35">
      <c r="R239" s="31" t="s">
        <v>106</v>
      </c>
      <c r="Y239" s="31" t="s">
        <v>106</v>
      </c>
      <c r="AF239" s="31" t="s">
        <v>106</v>
      </c>
    </row>
    <row r="240" spans="1:33" ht="15" customHeight="1" x14ac:dyDescent="0.35">
      <c r="L240" s="31" t="s">
        <v>29</v>
      </c>
      <c r="M240" s="31" t="s">
        <v>39</v>
      </c>
      <c r="N240" s="31" t="s">
        <v>22</v>
      </c>
      <c r="O240" s="31" t="s">
        <v>64</v>
      </c>
      <c r="P240" s="31" t="s">
        <v>67</v>
      </c>
      <c r="Q240" s="31" t="s">
        <v>69</v>
      </c>
      <c r="R240" s="31" t="s">
        <v>107</v>
      </c>
      <c r="S240" s="31" t="s">
        <v>29</v>
      </c>
      <c r="T240" s="31" t="s">
        <v>39</v>
      </c>
      <c r="U240" s="31" t="s">
        <v>22</v>
      </c>
      <c r="V240" s="31" t="s">
        <v>64</v>
      </c>
      <c r="W240" s="31" t="s">
        <v>67</v>
      </c>
      <c r="X240" s="31" t="s">
        <v>69</v>
      </c>
      <c r="Y240" s="31" t="s">
        <v>107</v>
      </c>
      <c r="Z240" s="31" t="s">
        <v>29</v>
      </c>
      <c r="AA240" s="31" t="s">
        <v>39</v>
      </c>
      <c r="AB240" s="31" t="s">
        <v>22</v>
      </c>
      <c r="AC240" s="31" t="s">
        <v>64</v>
      </c>
      <c r="AD240" s="31" t="s">
        <v>67</v>
      </c>
      <c r="AE240" s="31" t="s">
        <v>69</v>
      </c>
      <c r="AF240" s="31" t="s">
        <v>107</v>
      </c>
    </row>
    <row r="241" spans="1:32" ht="15" customHeight="1" x14ac:dyDescent="0.35">
      <c r="J241" s="31" t="s">
        <v>108</v>
      </c>
      <c r="L241" s="31">
        <f>(N200+$B201*N201+$B202*N202+$B203*N203+$B204*N204+$B205*N205+$B206*N206+$B207*O207+$B208*N208+$B209*N209+$B210*N210+$B211*N211+$B212*N212+$B213*N213+$B214*N214+$B215*N215+$B216*N216+$B217*N217+$B218*N218+$B219*N219+$B220*N220+$B221*N221+$B222*N222+$B223*N223+$B224*N224+$B225*N225+$B226*N226+$B227*N227+$B228*N228+$B229*N229+$B230*N230+$B231*N231+$B232*N232)</f>
        <v>-0.16455813729202762</v>
      </c>
      <c r="M241" s="31">
        <f>(O200+$B201*O201+$B202*O202+$B203*O203+$B204*O204+$B205*O205+$B206*O206+$B207*O207+$B208*O208+$B209*O209+$B210*O210+$B211*O211+$B212*O212+$B213*O213+$B214*O214+$B215*O215+$B216*O216+$B217*O217+$B218*O218+$B219*O219+$B220*O220+$B221*O221+$B222*O222+$B223*O223+$B224*O224+$B225*O225+$B226*O226+$B227*O227+$B228*O228+$B229*O229+$B230*O230+$B231*O231+$B232*O232)</f>
        <v>-0.81668646907796916</v>
      </c>
      <c r="N241" s="31">
        <f>(P200+$B201*P201+$B202*P202+$B203*P203+$B204*P204+$B205*P205+$B206*P206+$B207*P207+$B208*P208+$B209*P209+$B210*P210+$B211*P211+$B212*P212+$B213*P213+$B214*P214+$B215*P215+$B216*P216+$B217*P217+$B218*P218+$B219*P219+$B220*P220+$B221*P221+$B222*P222+$B223*P223+$B224*P224+$B225*P225+$B226*P226+$B227*P227+$B228*P228+$B229*P229+$B230*P230+$B231*P231+$B232*P232)</f>
        <v>2.6392060334346277</v>
      </c>
      <c r="O241" s="31">
        <f>(Q200+$B201*Q201+$B202*Q202+$B203*Q203+$B204*Q204+$B205*Q205+$B206*Q206+$B207*Q207+$B208*Q208+$B209*Q209+$B210*Q210+$B211*Q211+$B212*Q212+$B213*Q213+$B214*Q214+$B215*Q215+$B216*Q216+$B217*Q217+$B218*Q218+$B219*Q219+$B220*Q220+$B221*Q221+$B222*Q222+$B223*Q223+$B224*Q224+$B225*Q225+$B226*Q226+$B227*Q227+$B228*Q228+$B229*Q229+$B230*Q230+$B231*Q231+$B232*Q232)</f>
        <v>0.63066518915877623</v>
      </c>
      <c r="P241" s="31">
        <f>(R200+$B201*R201+$B202*R202+$B203*R203+$B204*R204+$B205*R205+$B206*R206+$B208*R208+$B209*R209+$B210*R210+$B211*R211+$B212*R212+$B213*R213+$B214*R214+$B215*R215+$B216*R216+$B217*R217+$B218*R218+$B219*R219+$B220*R220+$B221*R221+$B222*R222+$B223*R223+$B224*R224+$B225*R225+$B226*R226+$B227*R227+$B228*R228+$B229*R229+$B230*R230+$B231*R231+$B232*R232)</f>
        <v>2.4802238631387876</v>
      </c>
      <c r="Q241" s="31">
        <f>(S200+$B201*S201+$B202*S202+$B203*S203+$B204*S204+$B205*S205+$B206*S206+$B208*S208+$B209*S209+$B210*S210+$B211*S211+$B212*S212+$B213*S213+$B214*S214+$B215*S215+$B216*S216+$B217*S217+$B218*S218+$B219*S219+$B220*S220+$B221*S221+$B222*S222+$B223*S223+$B224*S224+$B225*S225+$B226*S226+$B227*S227+$B228*S228+$B229*S229+$B230*S230+$B231*S231+$B232*S232)</f>
        <v>1.1576802670462469</v>
      </c>
      <c r="S241" s="31">
        <f>(U200+$C201*U201+$C202*U202+$C203*U203+$C204*U204+$C205*U205+$C206*U206+$C207*U207+$C208*U208+$C209*U209+$C210*U210+$C211*U211+$C212*U212+$C213*U213+$C214*U214+$C215*U215+$C216*U216+$C217*U217+$C218*U218+$C219*U219+$C220*U220+$C221*U221+$C222*U222+$C223*U223+$C224*U224+$C225*U225+$C226*U226+$C227*U227+$C228*U228+$C229*U229+$C230*U230+$C231*U231+$C232*U232)</f>
        <v>-0.68617463032333326</v>
      </c>
      <c r="T241" s="31">
        <f>(V200+$C201*V201+$C202*V202+$C203*V203+$C204*V204+$C205*V205+$C206*V206+$C207*V207+$C208*V208+$C209*V209+$C210*V210+$C211*V211+$C212*V212+$C213*V213+$C214*V214+$C215*V215+$C216*V216+$C217*V217+$C218*V218+$C219*V219+$C220*V220+$C221*V221+$C222*V222+$C223*V223+$C224*V224+$C225*V225+$C226*V226+$C227*V227+$C228*V228+$C229*V229+$C230*V230+$C231*V231+$C232*V232)</f>
        <v>-1.2314408271442154</v>
      </c>
      <c r="U241" s="31">
        <f>(W200+$C201*W201+$C202*W202+$C203*W203+$C204*W204+$C205*W205+$C206*W206+$C207*W207+$C208*W208+$C209*W209+$C210*W210+$C211*W211+$C212*W212+$C213*W213+$C214*W214+$C215*W215+$C216*W216+$C217*W217+$C218*W218+$C219*W219+$C220*W220+$C221*W221+$C222*W222+$C223*W223+$C224*W224+$C225*W225+$C226*W226+$C227*W227+$C228*W228+$C229*W229+$C230*W230+$C231*W231+$C232*W232)</f>
        <v>2.1649651668540386</v>
      </c>
      <c r="V241" s="31">
        <f>(X200+$C201*X201+$C202*X202+$C203*X203+$C204*X204+$C205*X205+$C206*X206+$C207*X207+$C208*X208+$C209*X209+$C210*X210+$C211*X211+$C212*X212+$C213*X213+$C214*X214+$C215*X215+$C216*X216+$C217*X217+$C218*X218+$C219*X219+$C220*X220+$C221*X221+$C222*X222+$C223*X223+$C224*X224+$C225*X225+$C226*X226+$C227*X227+$C228*X228+$C229*X229+$C230*X230+$C231*X231+$C232*X232)</f>
        <v>0.39678095694260684</v>
      </c>
      <c r="W241" s="31">
        <f>(Y200+$C201*Y201+$C202*Y202+$C203*Y203+$C204*Y204+$C205*Y205+$C206*Y206+$C208*Y208+$C209*Y209+$C210*Y210+$C211*Y211+$C212*Y212+$C213*Y213+$C214*Y214+$C215*Y215+$C216*Y216+$C217*Y217+$C218*Y218+$C219*Y219+$C220*Y220+$C221*Y221+$C222*Y222+$C223*Y223+$C224*Y224+$C225*Y225+$C226*Y226+$C227*Y227+$C228*Y228+$C229*Y229+$C230*Y230+$C231*Y231+$C232*Y232)</f>
        <v>1.1243059701367775</v>
      </c>
      <c r="X241" s="31">
        <f>(Z200+$C201*Z201+$C202*Z202+$C203*Z203+$C204*Z204+$C205*Z205+$C206*Z206+$C208*Z208+$C209*Z209+$C210*Z210+$C211*Z211+$C212*Z212+$C213*Z213+$C214*Z214+$C215*Z215+$C216*Z216+$C217*Z217+$C218*Z218+$C219*Z219+$C220*Z220+$C221*Z221+$C222*Z222+$C223*Z223+$C224*Z224+$C225*Z225+$C226*Z226+$C227*Z227+$C228*Z228+$C229*Z229+$C230*Z230+$C231*Z231+$C232*Z232)</f>
        <v>0.14456161133137713</v>
      </c>
      <c r="Z241" s="31">
        <f>(AB200+$D201*AB201+$D202*AB202+$D203*AB203+$D204*AB204+$D205*AB205+$D206*AB206+$D207*AB207+$D208*AB208+$D209*AB209+$D210*AB210+$D211*AB211+$D212*AB212+$D213*AB213+$D214*AB214+$D215*AB215+$D216*AB216+$D217*AB217+$D218*AB218+$D219*AB219+$D220*AB220+$D221*AB221+$D222*AB222+$D223*AB223+$D224*AB224+$D225*AB225+$D226*AB226+$D227*AB227+$D228*AB228+$D229*AB229+$D230*AB230+$D231*AB231+$D232*AB232)</f>
        <v>-2.4366572905881601</v>
      </c>
      <c r="AA241" s="31">
        <f>(AC200+$D201*AC201+$D202*AC202+$D203*AC203+$D204*AC204+$D205*AC205+$D206*AC206+$D207*AC207+$D208*AC208+$D209*AC209+$D210*AC210+$D211*AC211+$D212*AC212+$D213*AC213+$D214*AC214+$D215*AC215+$D216*AC216+$D217*AC217+$D218*AC218+$D219*AC219+$D220*AC220+$D221*AC221+$D222*AC222+$D223*AC223+$D224*AC224+$D225*AC225+$D226*AC226+$D227*AC227+$D228*AC228+$D229*AC229+$D230*AC230+$D231*AC231+$D232*AC232)</f>
        <v>-2.8780625734727687</v>
      </c>
      <c r="AB241" s="31">
        <f>(AD200+$D201*AD201+$D202*AD202+$D203*AD203+$D204*AD204+$D205*AD205+$D206*AD206+$D207*AD207+$D208*AD208+$D209*AD209+$D210*AD210+$D211*AD211+$D212*AD212+$D213*AD213+$D214*AD214+$D215*AD215+$D216*AD216+$D217*AD217+$D218*AD218+$D219*AD219+$D220*AD220+$D221*AD221+$D222*AD222+$D223*AD223+$D224*AD224+$D225*AD225+$D226*AD226+$D227*AD227+$D228*AD228+$D229*AD229+$D230*AD230+$D231*AD231+$D232*AD232)</f>
        <v>2.1927219005497989</v>
      </c>
      <c r="AC241" s="31">
        <f>(AE200+$D201*AE201+$D202*AE202+$D203*AE203+$D204*AE204+$D205*AE205+$D206*AE206+$D207*AE207+$D208*AE208+$D209*AE209+$D210*AE210+$D211*AE211+$D212*AE212+$D213*AE213+$D214*AE214+$D215*AE215+$D216*AE216+$D217*AE217+$D218*AE218+$D219*AE219+$D220*AE220+$D221*AE221+$D222*AE222+$D223*AE223+$D224*AE224+$D225*AE225+$D226*AE226+$D227*AE227+$D228*AE228+$D229*AE229+$D230*AE230+$D231*AE231+$D232*AE232)</f>
        <v>0.40679629385780702</v>
      </c>
      <c r="AD241" s="31">
        <f>(AF200+$D201*AF201+$D202*AF202+$D203*AF203+$D204*AF204+$D205*AF205+$D206*AF206+$D208*AF208+$D209*AF209+$D210*AF210+$D211*AF211+$D212*AF212+$D213*AF213+$D214*AF214+$D215*AF215+$D216*AF216+$D217*AF217+$D218*AF218+$D219*AF219+$D220*AF220+$D221*AF221+$D222*AF222+$D223*AF223+$D224*AF224+$D225*AF225+$D226*AF226+$D227*AF227+$D228*AF228+$D229*AF229+$D230*AF230+$D231*AF231+$D232*AF232)</f>
        <v>1.1189425009515408</v>
      </c>
      <c r="AE241" s="31">
        <f>(AG200+$D201*AG201+$D202*AG202+$D203*AG203+$D204*AG204+$D205*AG205+$D206*AG206+$D208*AG208+$D209*AG209+$D210*AG210+$D211*AG211+$D212*AG212+$D213*AG213+$D214*AG214+$D215*AG215+$D216*AG216+$D217*AG217+$D218*AG218+$D219*AG219+$D220*AG220+$D221*AG221+$D222*AG222+$D223*AG223+$D224*AG224+$D225*AG225+$D226*AG226+$D227*AG227+$D228*AG228+$D229*AG229+$D230*AG230+$D231*AG231+$D232*AG232)</f>
        <v>0.14931959701389275</v>
      </c>
    </row>
    <row r="242" spans="1:32" ht="15" customHeight="1" x14ac:dyDescent="0.35">
      <c r="J242" s="31" t="s">
        <v>109</v>
      </c>
      <c r="L242" s="31">
        <f t="shared" ref="L242:Q242" si="68">EXP(L241)</f>
        <v>0.84826843948077757</v>
      </c>
      <c r="M242" s="31">
        <f t="shared" si="68"/>
        <v>0.44189345894185783</v>
      </c>
      <c r="N242" s="31">
        <f t="shared" si="68"/>
        <v>14.002082008268621</v>
      </c>
      <c r="O242" s="31">
        <f t="shared" si="68"/>
        <v>1.8788599609575836</v>
      </c>
      <c r="P242" s="31">
        <f t="shared" si="68"/>
        <v>11.943937926021576</v>
      </c>
      <c r="Q242" s="31">
        <f t="shared" si="68"/>
        <v>3.1825420589148035</v>
      </c>
      <c r="R242" s="31">
        <f>($T$81*N242+$T$82*O242+$T$83*P242+$T$84*Q242)</f>
        <v>4.7281724027166421</v>
      </c>
      <c r="S242" s="31">
        <f t="shared" ref="S242:X242" si="69">EXP(S241)</f>
        <v>0.50349845753020672</v>
      </c>
      <c r="T242" s="31">
        <f t="shared" si="69"/>
        <v>0.29187173785241288</v>
      </c>
      <c r="U242" s="31">
        <f t="shared" si="69"/>
        <v>8.7142983651375374</v>
      </c>
      <c r="V242" s="31">
        <f t="shared" si="69"/>
        <v>1.4870301707399167</v>
      </c>
      <c r="W242" s="31">
        <f t="shared" si="69"/>
        <v>3.0780798281035922</v>
      </c>
      <c r="X242" s="31">
        <f t="shared" si="69"/>
        <v>1.1555328866902208</v>
      </c>
      <c r="Y242" s="31">
        <f>($T$81*U242+$T$82*V242+$T$83*W242+$T$84*X242)</f>
        <v>3.0946822129839675</v>
      </c>
      <c r="Z242" s="31">
        <f t="shared" ref="Z242:AE242" si="70">EXP(Z241)</f>
        <v>8.7452692358417558E-2</v>
      </c>
      <c r="AA242" s="31">
        <f t="shared" si="70"/>
        <v>5.624362523514783E-2</v>
      </c>
      <c r="AB242" s="31">
        <f t="shared" si="70"/>
        <v>8.9595670055867416</v>
      </c>
      <c r="AC242" s="31">
        <f t="shared" si="70"/>
        <v>1.501998108256019</v>
      </c>
      <c r="AD242" s="31">
        <f t="shared" si="70"/>
        <v>3.0616148360051487</v>
      </c>
      <c r="AE242" s="31">
        <f t="shared" si="70"/>
        <v>1.1610439961137342</v>
      </c>
      <c r="AF242" s="31">
        <f>($T$81*AB242+$T$82*AC242+$T$83*AD242+$T$84*AE242)</f>
        <v>3.150857722403765</v>
      </c>
    </row>
    <row r="244" spans="1:32" ht="15" customHeight="1" x14ac:dyDescent="0.35">
      <c r="L244" s="31" t="s">
        <v>110</v>
      </c>
    </row>
    <row r="245" spans="1:32" ht="15" customHeight="1" x14ac:dyDescent="0.35">
      <c r="L245" s="31" t="s">
        <v>58</v>
      </c>
      <c r="M245" s="31" t="s">
        <v>58</v>
      </c>
      <c r="N245" s="31" t="s">
        <v>58</v>
      </c>
      <c r="O245" s="31" t="s">
        <v>58</v>
      </c>
      <c r="P245" s="31" t="s">
        <v>58</v>
      </c>
      <c r="Q245" s="31" t="s">
        <v>58</v>
      </c>
      <c r="R245" s="31" t="s">
        <v>58</v>
      </c>
      <c r="S245" s="31" t="s">
        <v>59</v>
      </c>
      <c r="T245" s="31" t="s">
        <v>59</v>
      </c>
      <c r="U245" s="31" t="s">
        <v>59</v>
      </c>
      <c r="V245" s="31" t="s">
        <v>59</v>
      </c>
      <c r="W245" s="31" t="s">
        <v>59</v>
      </c>
      <c r="X245" s="31" t="s">
        <v>59</v>
      </c>
      <c r="Y245" s="31" t="s">
        <v>59</v>
      </c>
      <c r="Z245" s="31" t="s">
        <v>60</v>
      </c>
      <c r="AA245" s="31" t="s">
        <v>60</v>
      </c>
      <c r="AB245" s="31" t="s">
        <v>60</v>
      </c>
      <c r="AC245" s="31" t="s">
        <v>60</v>
      </c>
      <c r="AD245" s="31" t="s">
        <v>60</v>
      </c>
      <c r="AE245" s="31" t="s">
        <v>60</v>
      </c>
      <c r="AF245" s="31" t="s">
        <v>60</v>
      </c>
    </row>
    <row r="246" spans="1:32" ht="15" customHeight="1" x14ac:dyDescent="0.35">
      <c r="R246" s="31" t="s">
        <v>106</v>
      </c>
      <c r="Y246" s="31" t="s">
        <v>106</v>
      </c>
      <c r="AF246" s="31" t="s">
        <v>106</v>
      </c>
    </row>
    <row r="247" spans="1:32" ht="15" customHeight="1" x14ac:dyDescent="0.35">
      <c r="A247" s="83"/>
      <c r="C247" s="83"/>
      <c r="L247" s="31" t="s">
        <v>29</v>
      </c>
      <c r="M247" s="31" t="s">
        <v>39</v>
      </c>
      <c r="N247" s="31" t="s">
        <v>22</v>
      </c>
      <c r="O247" s="31" t="s">
        <v>64</v>
      </c>
      <c r="P247" s="31" t="s">
        <v>67</v>
      </c>
      <c r="Q247" s="31" t="s">
        <v>69</v>
      </c>
      <c r="R247" s="31" t="s">
        <v>107</v>
      </c>
      <c r="S247" s="31" t="s">
        <v>29</v>
      </c>
      <c r="T247" s="31" t="s">
        <v>39</v>
      </c>
      <c r="U247" s="31" t="s">
        <v>22</v>
      </c>
      <c r="V247" s="31" t="s">
        <v>64</v>
      </c>
      <c r="W247" s="31" t="s">
        <v>67</v>
      </c>
      <c r="X247" s="31" t="s">
        <v>69</v>
      </c>
      <c r="Y247" s="31" t="s">
        <v>107</v>
      </c>
      <c r="Z247" s="31" t="s">
        <v>29</v>
      </c>
      <c r="AA247" s="31" t="s">
        <v>39</v>
      </c>
      <c r="AB247" s="31" t="s">
        <v>22</v>
      </c>
      <c r="AC247" s="31" t="s">
        <v>64</v>
      </c>
      <c r="AD247" s="31" t="s">
        <v>67</v>
      </c>
      <c r="AE247" s="31" t="s">
        <v>69</v>
      </c>
      <c r="AF247" s="31" t="s">
        <v>107</v>
      </c>
    </row>
    <row r="248" spans="1:32" ht="15" customHeight="1" x14ac:dyDescent="0.35">
      <c r="J248" s="31" t="s">
        <v>108</v>
      </c>
      <c r="L248" s="31">
        <f t="shared" ref="L248:Q248" si="71">(N200+$E201*N201+$E202*N202+$E203*N203+$E204*N204+$E205*N205+$E206*N206+$E207*N207+$E208*N208+$E209*N209+$E210*N210+$E211*N211+$E212*N212+$E213*N213+$E214*N214+$E215*N215+$E216*N216+$E217*N217+$E218*N218+$E219*N219+$E220*N220+$E221*N221+$E222*N222+$E223*N223+$E224*N224+$E225*N225+$E226*N226+$E227*N227+$E228*N228+$E229*N229+$E230*N230+$E231*N231+$E232*N232)</f>
        <v>-0.26201233733018875</v>
      </c>
      <c r="M248" s="31">
        <f t="shared" si="71"/>
        <v>-0.54281954632512397</v>
      </c>
      <c r="N248" s="31">
        <f t="shared" si="71"/>
        <v>2.0568261900022304</v>
      </c>
      <c r="O248" s="31">
        <f t="shared" si="71"/>
        <v>-1.1024397865374329</v>
      </c>
      <c r="P248" s="31">
        <f t="shared" si="71"/>
        <v>2.720440364924507</v>
      </c>
      <c r="Q248" s="31">
        <f t="shared" si="71"/>
        <v>1.4211629527766161</v>
      </c>
      <c r="S248" s="31">
        <f>(U200+$F201*U201+$F202*U202+$F203*U203+$F204*U204+$F205*U205+$F206*U206+$F207*U207+$F208*U208+$F209*U209+$F210*U210+$F211*U211+$F212*U212+$F213*U213+$F214*U214+$F215*U215+$F216*U216+$F217*U217+$F218*U218+$F219*U219+$F220*U220+$F221*U221+$F222*U222+$F223*U223+$F224*U224+$F225*U225+$F226*U226+$F227*U227+$F228*U228+$F229*U229+$F230*U230+$F231*U231+$F232*U232)</f>
        <v>-8.0959133058248228E-2</v>
      </c>
      <c r="T248" s="31">
        <f>(V200+$H201*V201+$H202*V202+$H203*V203+$H204*V204+$H205*V205+$H206*V206+$H207*V207+$H208*V208+$H209*V209+$H210*V210+$H211*V211+$H212*V212+$H213*V213+$H214*V214+$H215*V215+$H216*V216+$H217*V217+$H218*V218+$H219*V219+$H220*V220+$H221*V221+$H222*V222+$H223*V223+$H224*V224+$H225*V225+$H226*V226+$H227*V227+$H228*V228+$H229*V229+$H230*V230+$H231*V231+$H232*V232)</f>
        <v>-2.5556514932422818</v>
      </c>
      <c r="U248" s="31">
        <f>W200+$J201*W201+$J202*W202+$J203*W203+$J204*W204+$J205*W205+$J206*W206+$J207*W207+$J208*W208+$J209*W209+$J210*W210+$J211*W211+$J212*W212+$J213*W213+$J214*W214+$J215*W215+$J216*W216+$J217*W217+$J218*W218+$J219*W219+$J220*W220+$J221*W221+$J222*W222+$J223*W223+$J224*W224+$J225*W225+$J226*W226+$J227*W227+$J228*W228+$J229*W229+$J230*W230+$J231*W231+$J232*W232</f>
        <v>0.87178864896329433</v>
      </c>
      <c r="V248" s="31">
        <f>X200+$J201*X201+$J202*X202+$J203*X203+$J204*X204+$J205*X205+$J206*X206+$J207*X207+$J208*X208+$J209*X209+$J210*X210+$J211*X211+$J212*X212+$J213*X213+$J214*X214+$J215*X215+$J216*X216+$J217*X217+$J218*X218+$J219*X219+$J220*X220+$J221*X221+$J222*X222+$J223*X223+$J224*X224+$J225*X225+$J226*X226+$J227*X227+$J228*X228+$J229*X229+$J230*X230+$J231*X231+$J232*X232</f>
        <v>-1.45707474442121</v>
      </c>
      <c r="W248" s="31">
        <f>Y200+$J201*Y201+$J202*Y202+$J203*Y203+$J204*Y204+$J205*Y205+$J206*Y206+$J207*Y207+$J208*Y208+$J209*Y209+$J210*Y210+$J211*Y211+$J212*Y212+$J213*Y213+$J214*Y214+$J215*Y215+$J216*Y216+$J217*Y217+$J218*Y218+$J219*Y219+$J220*Y220+$J221*Y221+$J222*Y222+$J223*Y223+$J224*Y224+$J225*Y225+$J226*Y226+$J227*Y227+$J228*Y228+$J229*Y229+$J230*Y230+$J231*Y231+$J232*Y232</f>
        <v>0.34362345042102305</v>
      </c>
      <c r="X248" s="31">
        <f>Z200+$J201*Z201+$J202*Z202+$J203*Z203+$J204*Z204+$J205*Z205+$J206*Z206+$J207*Z207+$J208*Z208+$J209*Z209+$J210*Z210+$J211*Z211+$J212*Z212+$J213*Z213+$J214*Z214+$J215*Z215+$J216*Z216+$J217*Z217+$J218*Z218+$J219*Z219+$J220*Z220+$J221*Z221+$J222*Z222+$J223*Z223+$J224*Z224+$J225*Z225+$J226*Z226+$J227*Z227+$J228*Z228+$J229*Z229+$J230*Z230+$J231*Z231+$J232*Z232</f>
        <v>-1.2327341739231086</v>
      </c>
      <c r="Z248" s="31">
        <f>(AB200+$G201*AB201+$G202*AB202+$G203*AB203+$G204*AB204+$G205*AB205+$G206*AB206+$G207*AB207+$G208*AB208+$G209*AB209+$G210*AB210+$G211*AB211+$G212*AB212+$G213*AB213+$G214*AB214+$G215*AB215+$G216*AB216+$G217*AB217+$G218*AB218+$G219*AB219+$G220*AB220+$G221*AB221+$G222*AB222+$G223*AB223+$G224*AB224+$G225*AB225+$G226*AB226+$G227*AB227+$G228*AB228+$G229*AB229+$G230*AB230+$G231*AB231+$G232*AB232)</f>
        <v>-2.6487053594727654</v>
      </c>
      <c r="AA248" s="31">
        <f>(AC200+$I201*AC201+$I202*AC202+$I203*AC203+$I204*AC204+$I205*AC205+$I206*AC206+$I207*AC207+$I208*AC208+$I209*AC209+$I210*AC210+$I211*AC211+$I212*AC212+$I213*AC213+$I214*AC214+$I215*AC215+$I216*AC216+$I217*AC217+$I218*AC218+$I219*AC219+$I220*AC220+$I221*AC221+$I222*AC222+$I223*AC223+$I224*AC224+$I225*AC225+$I226*AC226+$I227*AC227+$I228*AC228+$I229*AC229+$I230*AC230+$I231*AC231+$I232*AC232)</f>
        <v>-4.1140175023285401</v>
      </c>
      <c r="AB248" s="31">
        <f>(AD200+$K201*AD201+$K202*AD202+$K203*AD203+$K204*AD204+$K205*AD205+$K206*AD206+$K207*AD207+$K208*AD208+$K209*AD209+$K210*AD210+$K211*AD211+$K212*AD212+$K213*AD213+$K214*AD214+$K215*AD215+$K216*AD216+$K217*AD217+$K218*AD218+$K219*AD219+$K220*AD220+$K221*AD221+$K222*AD222+$K223*AD223+$K224*AD224+$K225*AD225+$K226*AD226+$K227*AD227+$K228*AD228+$K229*AD229+$K230*AD230+$K231*AD231+$K232*AD232)</f>
        <v>0.84097720351595284</v>
      </c>
      <c r="AC248" s="31">
        <f>(AE200+$K201*AE201+$K202*AE202+$K203*AE203+$K204*AE204+$K205*AE205+$K206*AE206+$K207*AE207+$K208*AE208+$K209*AE209+$K210*AE210+$K211*AE211+$K212*AE212+$K213*AE213+$K214*AE214+$K215*AE215+$K216*AE216+$K217*AE217+$K218*AE218+$K219*AE219+$K220*AE220+$K221*AE221+$K222*AE222+$K223*AE223+$K224*AE224+$K225*AE225+$K226*AE226+$K227*AE227+$K228*AE228+$K229*AE229+$K230*AE230+$K231*AE231+$K232*AE232)</f>
        <v>-1.34665063896825</v>
      </c>
      <c r="AD248" s="31">
        <f>(AF200+$K201*AF201+$K202*AF202+$K203*AF203+$K204*AF204+$K205*AF205+$K206*AF206+$K207*AF207+$K208*AF208+$K209*AF209+$K210*AF210+$K211*AF211+$K212*AF212+$K213*AF213+$K214*AF214+$K215*AF215+$K216*AF216+$K217*AF217+$K218*AF218+$K219*AF219+$K220*AF220+$K221*AF221+$K222*AF222+$K223*AF223+$K224*AF224+$K225*AF225+$K226*AF226+$K227*AF227+$K228*AF228+$K229*AF229+$K230*AF230+$K231*AF231+$K232*AF232)</f>
        <v>0.42919033791642996</v>
      </c>
      <c r="AE248" s="31">
        <f>(AG200+$K201*AG201+$K202*AG202+$K203*AG203+$K204*AG204+$K205*AG205+$K206*AG206+$K207*AG207+$K208*AG208+$K209*AG209+$K210*AG210+$K211*AG211+$K212*AG212+$K213*AG213+$K214*AG214+$K215*AG215+$K216*AG216+$K217*AG217+$K218*AG218+$K219*AG219+$K220*AG220+$K221*AG221+$K222*AG222+$K223*AG223+$K224*AG224+$K225*AG225+$K226*AG226+$K227*AG227+$K228*AG228+$K229*AG229+$K230*AG230+$K231*AG231+$K232*AG232)</f>
        <v>-1.1641645110650809</v>
      </c>
    </row>
    <row r="249" spans="1:32" ht="15" customHeight="1" x14ac:dyDescent="0.35">
      <c r="J249" s="31" t="s">
        <v>109</v>
      </c>
      <c r="L249" s="31">
        <f t="shared" ref="L249:Q249" si="72">EXP(L248)</f>
        <v>0.76950153005455568</v>
      </c>
      <c r="M249" s="31">
        <f t="shared" si="72"/>
        <v>0.58110748088313913</v>
      </c>
      <c r="N249" s="31">
        <f t="shared" si="72"/>
        <v>7.8211076676206304</v>
      </c>
      <c r="O249" s="31">
        <f t="shared" si="72"/>
        <v>0.33205993922142468</v>
      </c>
      <c r="P249" s="31">
        <f t="shared" si="72"/>
        <v>15.187008598523027</v>
      </c>
      <c r="Q249" s="31">
        <f t="shared" si="72"/>
        <v>4.1419345146826219</v>
      </c>
      <c r="R249" s="31">
        <f>($T$81*N249+$T$82*O249+$T$83*P249+$T$84*Q249)</f>
        <v>2.25946449590016</v>
      </c>
      <c r="S249" s="31">
        <f t="shared" ref="S249:X249" si="73">EXP(S248)</f>
        <v>0.92223137945057176</v>
      </c>
      <c r="T249" s="31">
        <f t="shared" si="73"/>
        <v>7.7641632587532025E-2</v>
      </c>
      <c r="U249" s="31">
        <f t="shared" si="73"/>
        <v>2.3911840196057006</v>
      </c>
      <c r="V249" s="31">
        <f t="shared" si="73"/>
        <v>0.23291661979445799</v>
      </c>
      <c r="W249" s="31">
        <f t="shared" si="73"/>
        <v>1.4100475827064933</v>
      </c>
      <c r="X249" s="31">
        <f t="shared" si="73"/>
        <v>0.29149449048882942</v>
      </c>
      <c r="Y249" s="31">
        <f>($T$81*U249+$T$82*V249+$T$83*W249+$T$84*X249)</f>
        <v>0.69343348036997565</v>
      </c>
      <c r="Z249" s="31">
        <f t="shared" ref="Z249:AE249" si="74">EXP(Z248)</f>
        <v>7.074274021875615E-2</v>
      </c>
      <c r="AA249" s="31">
        <f t="shared" si="74"/>
        <v>1.6341988490187701E-2</v>
      </c>
      <c r="AB249" s="31">
        <f t="shared" si="74"/>
        <v>2.3186316450757332</v>
      </c>
      <c r="AC249" s="31">
        <f t="shared" si="74"/>
        <v>0.26011000560461339</v>
      </c>
      <c r="AD249" s="31">
        <f t="shared" si="74"/>
        <v>1.5360133681594712</v>
      </c>
      <c r="AE249" s="31">
        <f t="shared" si="74"/>
        <v>0.31218337886317316</v>
      </c>
      <c r="AF249" s="31">
        <f>($T$81*AB249+$T$82*AC249+$T$83*AD249+$T$84*AE249)</f>
        <v>0.71303278721488039</v>
      </c>
    </row>
    <row r="250" spans="1:32" ht="15" customHeight="1" x14ac:dyDescent="0.35">
      <c r="A250" s="69"/>
      <c r="C250" s="69"/>
    </row>
    <row r="251" spans="1:32" ht="15" customHeight="1" x14ac:dyDescent="0.35">
      <c r="J251" s="31" t="s">
        <v>221</v>
      </c>
    </row>
    <row r="252" spans="1:32" ht="15" customHeight="1" x14ac:dyDescent="0.35">
      <c r="J252" s="31" t="s">
        <v>26</v>
      </c>
      <c r="L252" s="31" t="s">
        <v>58</v>
      </c>
      <c r="M252" s="31" t="s">
        <v>59</v>
      </c>
      <c r="N252" s="31" t="s">
        <v>60</v>
      </c>
      <c r="O252" s="31" t="s">
        <v>27</v>
      </c>
    </row>
    <row r="253" spans="1:32" ht="15" customHeight="1" x14ac:dyDescent="0.35">
      <c r="J253" s="31" t="s">
        <v>111</v>
      </c>
      <c r="L253" s="31">
        <f>(L249/L242-1)*100</f>
        <v>-9.28561122401711</v>
      </c>
      <c r="M253" s="31">
        <f>(S249/S242-1)*100</f>
        <v>83.16468812523496</v>
      </c>
      <c r="N253" s="31">
        <f>(Z249/Z242-1)*100</f>
        <v>-19.107418752960815</v>
      </c>
      <c r="O253" s="31">
        <f>(N$81*L253+O$81*M253+P$81*N253)</f>
        <v>14.69403491380872</v>
      </c>
    </row>
    <row r="254" spans="1:32" ht="15" customHeight="1" x14ac:dyDescent="0.35">
      <c r="J254" s="31" t="s">
        <v>112</v>
      </c>
      <c r="L254" s="31">
        <f>(M249/M242-1)*100</f>
        <v>31.503978871884229</v>
      </c>
      <c r="M254" s="31">
        <f>(T249/T242-1)*100</f>
        <v>-73.398715079843697</v>
      </c>
      <c r="N254" s="31">
        <f>(AA249/AA242-1)*100</f>
        <v>-70.944283157666646</v>
      </c>
      <c r="O254" s="31">
        <f>(N$82*L254+O$82*M254+P$82*N254)</f>
        <v>-64.241676197394511</v>
      </c>
    </row>
    <row r="255" spans="1:32" ht="15" customHeight="1" x14ac:dyDescent="0.35">
      <c r="J255" s="31" t="s">
        <v>18</v>
      </c>
      <c r="L255" s="31">
        <f>(N249/N242-1)*100</f>
        <v>-44.143251960658084</v>
      </c>
      <c r="M255" s="31">
        <f>(U249/U242-1)*100</f>
        <v>-72.560223216915759</v>
      </c>
      <c r="N255" s="31">
        <f>(AB249/AB242-1)*100</f>
        <v>-74.121164073777791</v>
      </c>
      <c r="O255" s="31">
        <f>(N$83*L255+O$83*M255+P$83*N255)</f>
        <v>-71.294426731224348</v>
      </c>
    </row>
    <row r="256" spans="1:32" ht="15" customHeight="1" x14ac:dyDescent="0.35">
      <c r="J256" s="31" t="s">
        <v>64</v>
      </c>
      <c r="L256" s="31">
        <f>(O249/O242-1)*100</f>
        <v>-82.326520010986542</v>
      </c>
      <c r="M256" s="31">
        <f>(V249/V242-1)*100</f>
        <v>-84.336792596577695</v>
      </c>
      <c r="N256" s="31">
        <f>(AC249/AC242-1)*100</f>
        <v>-82.682401251048915</v>
      </c>
      <c r="O256" s="31">
        <f>(N$83*L256+O$83*M256+P$83*N256)</f>
        <v>-83.284097635016749</v>
      </c>
    </row>
    <row r="257" spans="10:15" ht="15" customHeight="1" x14ac:dyDescent="0.35">
      <c r="J257" s="31" t="s">
        <v>67</v>
      </c>
      <c r="L257" s="31">
        <f>(P249/P242-1)*100</f>
        <v>27.152440782833921</v>
      </c>
      <c r="M257" s="31">
        <f>(W249/W242-1)*100</f>
        <v>-54.190675308923851</v>
      </c>
      <c r="N257" s="31">
        <f>(AD249/AD242-1)*100</f>
        <v>-49.829960643785952</v>
      </c>
      <c r="O257" s="31">
        <f>(N$83*L257+O$83*M257+P$83*N257)</f>
        <v>-45.748980840020437</v>
      </c>
    </row>
    <row r="258" spans="10:15" ht="15" customHeight="1" x14ac:dyDescent="0.35">
      <c r="J258" s="31" t="s">
        <v>69</v>
      </c>
      <c r="L258" s="31">
        <f>(Q249/Q242-1)*100</f>
        <v>30.145476100792081</v>
      </c>
      <c r="M258" s="31">
        <f>(X249/X242-1)*100</f>
        <v>-74.77402038086916</v>
      </c>
      <c r="N258" s="31">
        <f>(AE249/AE242-1)*100</f>
        <v>-73.111839007986035</v>
      </c>
      <c r="O258" s="31">
        <f>(N$83*L258+O$83*M258+P$83*N258)</f>
        <v>-66.048100992726688</v>
      </c>
    </row>
    <row r="259" spans="10:15" ht="15" customHeight="1" x14ac:dyDescent="0.35">
      <c r="J259" s="31" t="s">
        <v>113</v>
      </c>
      <c r="L259" s="31">
        <f>(R249/R242-1)*100</f>
        <v>-52.212730343716942</v>
      </c>
      <c r="M259" s="31">
        <f>(Y249/Y242-1)*100</f>
        <v>-77.592740299452259</v>
      </c>
      <c r="N259" s="31">
        <f>(AF249/AF242-1)*100</f>
        <v>-77.370200433204161</v>
      </c>
      <c r="O259" s="31">
        <f>(((N$83*R249+O$83*Y249+P$83*AF249)/(N$83*R242+O$83*Y242+P$83*AF242))-1)*100</f>
        <v>-74.720809376052372</v>
      </c>
    </row>
  </sheetData>
  <sheetProtection password="F627" sheet="1" objects="1" scenarios="1"/>
  <mergeCells count="1">
    <mergeCell ref="A1:F1"/>
  </mergeCells>
  <phoneticPr fontId="3" type="noConversion"/>
  <pageMargins left="0.5" right="0.5" top="0.2" bottom="0.2" header="0.5" footer="0.5"/>
  <pageSetup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/>
  </sheetPr>
  <dimension ref="A1:P66"/>
  <sheetViews>
    <sheetView showOutlineSymbols="0" zoomScale="75" workbookViewId="0">
      <selection sqref="A1:K1"/>
    </sheetView>
  </sheetViews>
  <sheetFormatPr defaultColWidth="9.1796875" defaultRowHeight="15" customHeight="1" x14ac:dyDescent="0.35"/>
  <cols>
    <col min="1" max="1" width="16.1796875" style="31" customWidth="1"/>
    <col min="2" max="2" width="29.81640625" style="31" customWidth="1"/>
    <col min="3" max="3" width="21.7265625" style="31" customWidth="1"/>
    <col min="4" max="4" width="20.26953125" style="31" bestFit="1" customWidth="1"/>
    <col min="5" max="5" width="17.1796875" style="31" customWidth="1"/>
    <col min="6" max="6" width="21" style="31" customWidth="1"/>
    <col min="7" max="7" width="16.7265625" style="31" customWidth="1"/>
    <col min="8" max="8" width="16" style="31" customWidth="1"/>
    <col min="9" max="9" width="22.26953125" style="31" customWidth="1"/>
    <col min="10" max="10" width="16.81640625" style="31" customWidth="1"/>
    <col min="11" max="11" width="17.1796875" style="31" customWidth="1"/>
    <col min="12" max="12" width="21.26953125" style="31" customWidth="1"/>
    <col min="13" max="13" width="18.453125" style="31" customWidth="1"/>
    <col min="14" max="14" width="24.7265625" style="31" customWidth="1"/>
    <col min="15" max="15" width="22" style="31" customWidth="1"/>
    <col min="16" max="16" width="18" style="31" customWidth="1"/>
    <col min="17" max="17" width="16.7265625" style="31" customWidth="1"/>
    <col min="18" max="19" width="17.1796875" style="31" customWidth="1"/>
    <col min="20" max="16384" width="9.1796875" style="31"/>
  </cols>
  <sheetData>
    <row r="1" spans="1:8" ht="15" customHeight="1" x14ac:dyDescent="0.35">
      <c r="A1" s="269" t="s">
        <v>116</v>
      </c>
      <c r="B1" s="262"/>
    </row>
    <row r="2" spans="1:8" ht="15" customHeight="1" x14ac:dyDescent="0.35">
      <c r="A2" s="31" t="s">
        <v>117</v>
      </c>
    </row>
    <row r="3" spans="1:8" ht="15" customHeight="1" x14ac:dyDescent="0.35">
      <c r="A3" s="31" t="s">
        <v>35</v>
      </c>
    </row>
    <row r="6" spans="1:8" ht="15" customHeight="1" x14ac:dyDescent="0.35">
      <c r="C6" s="31" t="s">
        <v>118</v>
      </c>
      <c r="E6" s="31" t="s">
        <v>119</v>
      </c>
    </row>
    <row r="7" spans="1:8" ht="15" customHeight="1" x14ac:dyDescent="0.35">
      <c r="B7" s="31" t="s">
        <v>120</v>
      </c>
      <c r="C7" s="76">
        <f>ROUND(IF('Phase 3 PM for PM Flat'!B49=0,6.9,7),2)</f>
        <v>6.9</v>
      </c>
      <c r="E7" s="76">
        <f>IF('Phase 3 PM for PM Flat'!E28="Non-RVP controlled gasoline.",C7,ROUND('Phase 3 PM for PM Flat'!B43,2))</f>
        <v>0</v>
      </c>
    </row>
    <row r="8" spans="1:8" ht="15" customHeight="1" x14ac:dyDescent="0.35">
      <c r="C8" s="92" t="s">
        <v>11</v>
      </c>
      <c r="D8" s="92" t="s">
        <v>12</v>
      </c>
      <c r="E8" s="92" t="s">
        <v>11</v>
      </c>
      <c r="F8" s="92" t="s">
        <v>12</v>
      </c>
    </row>
    <row r="9" spans="1:8" ht="15" customHeight="1" x14ac:dyDescent="0.35">
      <c r="B9" s="31" t="s">
        <v>203</v>
      </c>
      <c r="C9" s="31">
        <v>2</v>
      </c>
      <c r="D9" s="31">
        <v>2</v>
      </c>
      <c r="E9" s="31">
        <v>0</v>
      </c>
      <c r="F9" s="31">
        <v>0</v>
      </c>
    </row>
    <row r="11" spans="1:8" ht="15" customHeight="1" x14ac:dyDescent="0.35">
      <c r="B11" s="31" t="s">
        <v>121</v>
      </c>
      <c r="C11" s="31">
        <f>IF('Phase 3 PM for PM Flat'!B22="A",0.7,0.8)</f>
        <v>0.8</v>
      </c>
      <c r="E11" s="76">
        <f>A!B21</f>
        <v>0</v>
      </c>
    </row>
    <row r="12" spans="1:8" ht="15" customHeight="1" x14ac:dyDescent="0.35">
      <c r="G12" s="31" t="s">
        <v>183</v>
      </c>
      <c r="H12" s="31" t="s">
        <v>184</v>
      </c>
    </row>
    <row r="13" spans="1:8" ht="15" customHeight="1" x14ac:dyDescent="0.35">
      <c r="C13" s="31" t="s">
        <v>122</v>
      </c>
      <c r="E13" s="31" t="s">
        <v>123</v>
      </c>
      <c r="F13" s="31" t="s">
        <v>124</v>
      </c>
      <c r="G13" s="31" t="s">
        <v>125</v>
      </c>
      <c r="H13" s="31" t="s">
        <v>129</v>
      </c>
    </row>
    <row r="14" spans="1:8" ht="15" customHeight="1" x14ac:dyDescent="0.35">
      <c r="B14" s="31" t="s">
        <v>126</v>
      </c>
      <c r="C14" s="31" t="s">
        <v>127</v>
      </c>
      <c r="D14" s="31" t="s">
        <v>128</v>
      </c>
      <c r="E14" s="31" t="s">
        <v>129</v>
      </c>
      <c r="F14" s="31" t="s">
        <v>130</v>
      </c>
      <c r="G14" s="31" t="s">
        <v>129</v>
      </c>
      <c r="H14" s="31" t="s">
        <v>185</v>
      </c>
    </row>
    <row r="15" spans="1:8" ht="15" customHeight="1" x14ac:dyDescent="0.35">
      <c r="B15" s="31" t="s">
        <v>131</v>
      </c>
      <c r="C15" s="80">
        <f>IF(OR('Phase 3 PM for PM Flat'!E28="Non-RVP controlled gasoline.",'Phase 3 PM for PM Flat'!$B$49=0),((3.730921*$E$7 + 34.535116)-(3.730921*$C$7 + 34.535116))/(3.730921*$C$7 + 34.535116)*100,((3.730921*$E$7 + 43.589427)-(3.730921*$C$7 + 34.535116))/(3.730921*$C$7 + 34.535116)*100)</f>
        <v>-42.707378796498304</v>
      </c>
      <c r="D15" s="81">
        <v>0.68300000000000005</v>
      </c>
      <c r="E15" s="31">
        <v>1.7421855717998227E-2</v>
      </c>
      <c r="F15" s="46">
        <f>(C15*D15)</f>
        <v>-29.169139718008346</v>
      </c>
      <c r="G15" s="46">
        <f>(E15*F15)</f>
        <v>-0.50818054358527287</v>
      </c>
      <c r="H15" s="46">
        <f>C15*E15/$E$18</f>
        <v>-12.455367363971702</v>
      </c>
    </row>
    <row r="16" spans="1:8" ht="15" customHeight="1" x14ac:dyDescent="0.35">
      <c r="B16" s="31" t="s">
        <v>132</v>
      </c>
      <c r="C16" s="80">
        <f>IF(OR('Phase 3 PM for PM Flat'!E28="Non-RVP controlled gasoline.",'Phase 3 PM for PM Flat'!$B$49=0),((4.369978*$E$7 + 9.228675)-(4.369978*$C$7 + 9.228675))/(4.369978*$C$7+ 9.228675)*100,((4.369978*$E$7 + 10.356585)-(4.369978*$C$7 + 9.228675))/(4.369978*$C$7 + 9.228675)*100)</f>
        <v>-76.56597751912247</v>
      </c>
      <c r="D16" s="81">
        <v>0.77800000000000002</v>
      </c>
      <c r="E16" s="31">
        <v>1.1289362505262851E-2</v>
      </c>
      <c r="F16" s="46">
        <f>(C16*D16)</f>
        <v>-59.568330509877285</v>
      </c>
      <c r="G16" s="46">
        <f>(E16*F16)</f>
        <v>-0.6724884769593138</v>
      </c>
      <c r="H16" s="46">
        <f>C16*E16/$E$18</f>
        <v>-14.469864414249169</v>
      </c>
    </row>
    <row r="17" spans="2:8" ht="15" customHeight="1" x14ac:dyDescent="0.35">
      <c r="B17" s="93" t="s">
        <v>133</v>
      </c>
      <c r="C17" s="94">
        <f>IF(OR('Phase 3 PM for PM Flat'!E28="Non-RVP controlled gasoline.",'Phase 3 PM for PM Flat'!$B$49=0),((9.744935*$E$7 + 40.567912)-(9.744935*$C$7 + 40.567912))/(9.744935*$C$7 + 40.567912)*100,((9.744935*$E$7 + 42.517912)-(9.744935*$C$7 + 40.567912))/(9.744935*$C$7 + 40.567912)*100)</f>
        <v>-62.370208393742629</v>
      </c>
      <c r="D17" s="95">
        <v>0.68100000000000005</v>
      </c>
      <c r="E17" s="93">
        <v>3.1025421391135174E-2</v>
      </c>
      <c r="F17" s="96">
        <f>(C17*D17)</f>
        <v>-42.474111916138732</v>
      </c>
      <c r="G17" s="96">
        <f>(E17*F17)</f>
        <v>-1.3177772204124401</v>
      </c>
      <c r="H17" s="96">
        <f>C17*E17/$E$18</f>
        <v>-32.39321813479512</v>
      </c>
    </row>
    <row r="18" spans="2:8" ht="15" customHeight="1" x14ac:dyDescent="0.35">
      <c r="B18" s="31" t="s">
        <v>181</v>
      </c>
      <c r="C18" s="80">
        <f>SUM(C15:C17)</f>
        <v>-181.6435647093634</v>
      </c>
      <c r="E18" s="31">
        <f>SUM(E15:E17)</f>
        <v>5.973663961439625E-2</v>
      </c>
      <c r="G18" s="46">
        <f>SUM(G15:G17)/E18</f>
        <v>-41.824351973674005</v>
      </c>
      <c r="H18" s="46">
        <f>SUM(H15:H17)</f>
        <v>-59.318449913015989</v>
      </c>
    </row>
    <row r="20" spans="2:8" ht="15" customHeight="1" x14ac:dyDescent="0.35">
      <c r="B20" s="31" t="s">
        <v>134</v>
      </c>
    </row>
    <row r="21" spans="2:8" ht="15" customHeight="1" x14ac:dyDescent="0.35">
      <c r="C21" s="31" t="s">
        <v>41</v>
      </c>
      <c r="D21" s="31" t="s">
        <v>42</v>
      </c>
      <c r="E21" s="31" t="s">
        <v>43</v>
      </c>
      <c r="F21" s="31" t="s">
        <v>44</v>
      </c>
    </row>
    <row r="22" spans="2:8" ht="15" customHeight="1" x14ac:dyDescent="0.35">
      <c r="B22" s="31" t="s">
        <v>45</v>
      </c>
      <c r="C22" s="70">
        <f>IF(AND(F9&gt;=1.8,E9&lt;=2.2),2,100)</f>
        <v>100</v>
      </c>
      <c r="D22" s="70">
        <f>IF(AND(F9&gt;=1.8,E9&lt;=2.2),2,100)</f>
        <v>100</v>
      </c>
      <c r="E22" s="70">
        <f>IF(AND(F9&gt;=1.8,E9&lt;=2.2),2,100)</f>
        <v>100</v>
      </c>
      <c r="F22" s="70">
        <f>IF(AND(F9&gt;=1.8,E9&lt;=2.2),2,100)</f>
        <v>100</v>
      </c>
    </row>
    <row r="23" spans="2:8" ht="15" customHeight="1" x14ac:dyDescent="0.35">
      <c r="B23" s="31" t="s">
        <v>46</v>
      </c>
      <c r="C23" s="70">
        <f>IF(AND(AND(F9&gt;=1.8,F9&lt;=2.2),E9&gt;2.2),2,100)</f>
        <v>100</v>
      </c>
      <c r="D23" s="70">
        <f>IF(AND(AND(F9&gt;=1.8,F9&lt;=2.2),E9&gt;2.2),1.8,100)</f>
        <v>100</v>
      </c>
      <c r="E23" s="70">
        <f>IF(AND(AND(F9&gt;=1.8,F9&lt;=2.2),E9&gt;2.2),E9,100)</f>
        <v>100</v>
      </c>
      <c r="F23" s="70">
        <f>IF(AND(AND(F9&gt;=1.8,F9&lt;=2.2),E9&gt;2.2),F9,100)</f>
        <v>100</v>
      </c>
    </row>
    <row r="24" spans="2:8" ht="15" customHeight="1" x14ac:dyDescent="0.35">
      <c r="B24" s="31" t="s">
        <v>47</v>
      </c>
      <c r="C24" s="70">
        <f>IF(AND(AND(F9&lt;1.8,E9&gt;=1.8),E9&lt;=2.2),2.2,100)</f>
        <v>100</v>
      </c>
      <c r="D24" s="70">
        <f>IF(AND(AND(F9&lt;1.8,E9&gt;=1.8),E9&lt;=2.2),2,100)</f>
        <v>100</v>
      </c>
      <c r="E24" s="70">
        <f>IF(AND(AND(F9&lt;1.8,E9&gt;=1.8),E9&lt;=2.2),E9,100)</f>
        <v>100</v>
      </c>
      <c r="F24" s="70">
        <f>IF(AND(AND(F9&lt;1.8,E9&gt;=1.8),E9&lt;=2.2),F9,100)</f>
        <v>100</v>
      </c>
    </row>
    <row r="25" spans="2:8" ht="15" customHeight="1" x14ac:dyDescent="0.35">
      <c r="B25" s="31" t="s">
        <v>48</v>
      </c>
      <c r="C25" s="70">
        <f>IF(AND($F$9&lt;1.8,$E$9&gt;2.2),2,100)</f>
        <v>100</v>
      </c>
      <c r="D25" s="70">
        <f>IF(AND($F$9&lt;1.8,$E$9&gt;2.2),2,100)</f>
        <v>100</v>
      </c>
      <c r="E25" s="70">
        <f>IF(AND($F$9&lt;1.8,$E$9&gt;2.2),E9,100)</f>
        <v>100</v>
      </c>
      <c r="F25" s="70">
        <f>IF(AND($F$9&lt;1.8,$E$9&gt;2.2),F9,100)</f>
        <v>100</v>
      </c>
    </row>
    <row r="26" spans="2:8" ht="15" customHeight="1" x14ac:dyDescent="0.35">
      <c r="B26" s="31" t="s">
        <v>49</v>
      </c>
      <c r="C26" s="70">
        <f>IF(AND(F9&lt;1.8,E9&lt;1.8),2,100)</f>
        <v>2</v>
      </c>
      <c r="D26" s="70">
        <f>IF(AND(F9&lt;1.8,E9&lt;1.8),2,100)</f>
        <v>2</v>
      </c>
      <c r="E26" s="70">
        <f>IF(AND(F9&lt;1.8,E9&lt;1.8),E9,100)</f>
        <v>0</v>
      </c>
      <c r="F26" s="70">
        <f>IF(AND(F9&lt;1.8,E9&lt;1.8),F9,100)</f>
        <v>0</v>
      </c>
    </row>
    <row r="27" spans="2:8" ht="15" customHeight="1" x14ac:dyDescent="0.35">
      <c r="B27" s="31" t="s">
        <v>50</v>
      </c>
      <c r="C27" s="70">
        <f>IF(AND($F9&gt;=2.5,$E9&lt;=2.9),2,100)</f>
        <v>100</v>
      </c>
      <c r="D27" s="70">
        <f>IF(AND($F9&gt;=2.5,$E9&lt;=2.9),2,100)</f>
        <v>100</v>
      </c>
      <c r="E27" s="70">
        <f>IF(AND($F9&gt;=2.5,$E9&lt;=2.9),2.7,100)</f>
        <v>100</v>
      </c>
      <c r="F27" s="70">
        <f>IF(AND($F9&gt;=2.5,$E9&lt;=2.9),2.7,100)</f>
        <v>100</v>
      </c>
    </row>
    <row r="28" spans="2:8" ht="15" customHeight="1" x14ac:dyDescent="0.35">
      <c r="B28" s="31" t="s">
        <v>167</v>
      </c>
      <c r="C28" s="70">
        <f>IF(AND(AND($F9&gt;2.2,$F9&lt;2.5),$E9&gt;2.2),2,100)</f>
        <v>100</v>
      </c>
      <c r="D28" s="70">
        <f>IF(AND(AND($F9&gt;2.2,$F9&lt;2.5),$E9&gt;2.2),2,100)</f>
        <v>100</v>
      </c>
      <c r="E28" s="70">
        <f>IF(AND(AND($F9&gt;2.2,$F9&lt;2.5),$E9&gt;2.2),E9,100)</f>
        <v>100</v>
      </c>
      <c r="F28" s="70">
        <f>IF(AND(AND($F9&gt;2.2,$F9&lt;2.5),$E9&gt;2.2),F9,100)</f>
        <v>100</v>
      </c>
    </row>
    <row r="29" spans="2:8" ht="15" customHeight="1" x14ac:dyDescent="0.35">
      <c r="B29" s="31" t="s">
        <v>168</v>
      </c>
      <c r="C29" s="70">
        <f>IF(AND($F9&gt;=2.5,$E9&gt;2.9),2,100)</f>
        <v>100</v>
      </c>
      <c r="D29" s="70">
        <f>IF(AND($F9&gt;=2.5,$E9&gt;2.9),2,100)</f>
        <v>100</v>
      </c>
      <c r="E29" s="70">
        <f>IF(AND($F9&gt;=2.5,$E9&gt;2.9),E9,100)</f>
        <v>100</v>
      </c>
      <c r="F29" s="70">
        <f>IF(AND($F9&gt;=2.5,$E9&gt;2.9),F9,100)</f>
        <v>100</v>
      </c>
    </row>
    <row r="30" spans="2:8" ht="15" customHeight="1" x14ac:dyDescent="0.35">
      <c r="B30" s="97" t="s">
        <v>51</v>
      </c>
      <c r="C30" s="98">
        <f>SUM(C22:C29)-700</f>
        <v>2</v>
      </c>
      <c r="D30" s="98">
        <f>SUM(D22:D29)-700</f>
        <v>2</v>
      </c>
      <c r="E30" s="98">
        <f>SUM(E22:E29)-700</f>
        <v>0</v>
      </c>
      <c r="F30" s="98">
        <f>SUM(F22:F29)-700</f>
        <v>0</v>
      </c>
    </row>
    <row r="33" spans="1:16" ht="15" customHeight="1" x14ac:dyDescent="0.35">
      <c r="B33" s="31" t="s">
        <v>135</v>
      </c>
    </row>
    <row r="34" spans="1:16" ht="15" customHeight="1" x14ac:dyDescent="0.35">
      <c r="B34" s="31" t="s">
        <v>136</v>
      </c>
      <c r="F34" s="31" t="s">
        <v>137</v>
      </c>
      <c r="L34" s="31" t="s">
        <v>138</v>
      </c>
    </row>
    <row r="35" spans="1:16" ht="15" customHeight="1" x14ac:dyDescent="0.35">
      <c r="B35" s="31" t="s">
        <v>139</v>
      </c>
      <c r="G35" s="31" t="s">
        <v>118</v>
      </c>
      <c r="H35" s="31" t="s">
        <v>118</v>
      </c>
      <c r="I35" s="31" t="s">
        <v>119</v>
      </c>
      <c r="J35" s="31" t="s">
        <v>119</v>
      </c>
      <c r="M35" s="31" t="s">
        <v>118</v>
      </c>
      <c r="N35" s="31" t="s">
        <v>118</v>
      </c>
      <c r="O35" s="31" t="s">
        <v>119</v>
      </c>
      <c r="P35" s="31" t="s">
        <v>119</v>
      </c>
    </row>
    <row r="36" spans="1:16" ht="15" customHeight="1" x14ac:dyDescent="0.35">
      <c r="C36" s="31" t="s">
        <v>118</v>
      </c>
      <c r="D36" s="31" t="s">
        <v>119</v>
      </c>
      <c r="F36" s="31" t="s">
        <v>140</v>
      </c>
      <c r="G36" s="31" t="s">
        <v>141</v>
      </c>
      <c r="H36" s="31" t="s">
        <v>142</v>
      </c>
      <c r="I36" s="31" t="s">
        <v>141</v>
      </c>
      <c r="J36" s="31" t="s">
        <v>142</v>
      </c>
      <c r="L36" s="31" t="s">
        <v>140</v>
      </c>
      <c r="M36" s="31" t="s">
        <v>141</v>
      </c>
      <c r="N36" s="31" t="s">
        <v>142</v>
      </c>
      <c r="O36" s="31" t="s">
        <v>141</v>
      </c>
      <c r="P36" s="31" t="s">
        <v>142</v>
      </c>
    </row>
    <row r="37" spans="1:16" ht="15" customHeight="1" x14ac:dyDescent="0.35">
      <c r="B37" s="31" t="s">
        <v>143</v>
      </c>
      <c r="C37" s="31">
        <f>(3.730921*$C$7 + 34.535116)*907.18/939430</f>
        <v>5.8209151539829473E-2</v>
      </c>
      <c r="D37" s="31">
        <f>IF('Phase 3 PM for PM Flat'!$B$49=0,3.730921*$E$7+34.535116,3.730921*$E$7+43.589427)*907.18/939430</f>
        <v>3.3349548697486769E-2</v>
      </c>
      <c r="F37" s="31" t="s">
        <v>143</v>
      </c>
      <c r="G37" s="31">
        <f>((2.94917804*C11)-(0.17567009*C11*C7))/100</f>
        <v>1.3896435351999999E-2</v>
      </c>
      <c r="H37" s="31">
        <f>((2.94917804*C11)-(0.17567009*C11*C7))/100</f>
        <v>1.3896435351999999E-2</v>
      </c>
      <c r="I37" s="31">
        <f>((2.94917804*E11)-(0.17567009*E11*E7))/100</f>
        <v>0</v>
      </c>
      <c r="J37" s="31">
        <f>((2.94917804*E11)-(0.17567009*E11*E7))/100</f>
        <v>0</v>
      </c>
      <c r="L37" s="31" t="s">
        <v>143</v>
      </c>
      <c r="M37" s="31">
        <f>(C37*G37)</f>
        <v>8.0889971126801147E-4</v>
      </c>
      <c r="N37" s="31">
        <f t="shared" ref="N37:O39" si="0">(C37*H37)</f>
        <v>8.0889971126801147E-4</v>
      </c>
      <c r="O37" s="31">
        <f t="shared" si="0"/>
        <v>0</v>
      </c>
      <c r="P37" s="31">
        <f>(D37*J37)</f>
        <v>0</v>
      </c>
    </row>
    <row r="38" spans="1:16" ht="15" customHeight="1" x14ac:dyDescent="0.35">
      <c r="B38" s="31" t="s">
        <v>132</v>
      </c>
      <c r="C38" s="31">
        <f>(4.369978*$C$7 + 9.228675)*907.18/939430</f>
        <v>3.8029581998207419E-2</v>
      </c>
      <c r="D38" s="31">
        <f>IF('Phase 3 PM for PM Flat'!$B$49=0,4.369978*$E$7 + 9.228675,4.369978*$E$7 + 10.356585)*907.18/939430</f>
        <v>8.9118607948436828E-3</v>
      </c>
      <c r="F38" s="31" t="s">
        <v>132</v>
      </c>
      <c r="G38" s="31">
        <f>((4.63141591*C11)-(0.27179513*C11*C7)-(0.08184128*C11*C30))/100</f>
        <v>2.0738775623999998E-2</v>
      </c>
      <c r="H38" s="31">
        <f>((4.63141591*C11)-(0.27179513*C11*C7)-(0.08184128*C11*D30))/100</f>
        <v>2.0738775623999998E-2</v>
      </c>
      <c r="I38" s="31">
        <f>((4.63141591*E11)-(0.27179513*E11*E7)-(0.08184128*E11*E30))/100</f>
        <v>0</v>
      </c>
      <c r="J38" s="31">
        <f>((4.63141591*E11)-(0.27179513*E11*E7)-(0.08184128*E11*F30))/100</f>
        <v>0</v>
      </c>
      <c r="L38" s="31" t="s">
        <v>132</v>
      </c>
      <c r="M38" s="31">
        <f>(C38*G38)</f>
        <v>7.8868696813533322E-4</v>
      </c>
      <c r="N38" s="31">
        <f t="shared" si="0"/>
        <v>7.8868696813533322E-4</v>
      </c>
      <c r="O38" s="31">
        <f t="shared" si="0"/>
        <v>0</v>
      </c>
      <c r="P38" s="31">
        <f>(D38*J38)</f>
        <v>0</v>
      </c>
    </row>
    <row r="39" spans="1:16" ht="15" customHeight="1" x14ac:dyDescent="0.35">
      <c r="B39" s="31" t="s">
        <v>144</v>
      </c>
      <c r="C39" s="31">
        <f>(9.744935*$C$7 + 40.567912)*907.18/939430</f>
        <v>0.10410698862920068</v>
      </c>
      <c r="D39" s="31">
        <f>IF('Phase 3 PM for PM Flat'!$B$49=0,9.744935*$E$7 + 40.567912,9.744935*$E$7 + 42.517912)*907.18/939430</f>
        <v>3.9175242868718263E-2</v>
      </c>
      <c r="F39" s="31" t="s">
        <v>144</v>
      </c>
      <c r="G39" s="31">
        <f>((6.48391842*C11)-(0.5622979*C11*C7))/100</f>
        <v>2.0832503280000005E-2</v>
      </c>
      <c r="H39" s="31">
        <f>((6.48391842*C11)-(0.5622979*C11*C7))/100</f>
        <v>2.0832503280000005E-2</v>
      </c>
      <c r="I39" s="31">
        <f>((6.48391842*E11)-(0.5622979*E11*E7))/100</f>
        <v>0</v>
      </c>
      <c r="J39" s="31">
        <f>((6.48391842*E11)-(0.5622979*E11*E7))/100</f>
        <v>0</v>
      </c>
      <c r="L39" s="31" t="s">
        <v>144</v>
      </c>
      <c r="M39" s="31">
        <f>(C39*G39)</f>
        <v>2.1688091820887463E-3</v>
      </c>
      <c r="N39" s="31">
        <f t="shared" si="0"/>
        <v>2.1688091820887463E-3</v>
      </c>
      <c r="O39" s="31">
        <f t="shared" si="0"/>
        <v>0</v>
      </c>
      <c r="P39" s="31">
        <f>(D39*J39)</f>
        <v>0</v>
      </c>
    </row>
    <row r="40" spans="1:16" ht="15" customHeight="1" x14ac:dyDescent="0.35">
      <c r="B40" s="31" t="s">
        <v>145</v>
      </c>
      <c r="C40" s="31">
        <f>SUM(C37:C39)</f>
        <v>0.20034572216723756</v>
      </c>
      <c r="D40" s="31">
        <f>SUM(D37:D39)</f>
        <v>8.1436652361048717E-2</v>
      </c>
      <c r="L40" s="31" t="s">
        <v>145</v>
      </c>
      <c r="M40" s="31">
        <f>SUM(M37:M39)</f>
        <v>3.7663958614920908E-3</v>
      </c>
      <c r="N40" s="31">
        <f>SUM(N37:N39)</f>
        <v>3.7663958614920908E-3</v>
      </c>
      <c r="O40" s="31">
        <f>SUM(O37:O39)</f>
        <v>0</v>
      </c>
      <c r="P40" s="31">
        <f>SUM(P37:P39)</f>
        <v>0</v>
      </c>
    </row>
    <row r="42" spans="1:16" ht="15" customHeight="1" x14ac:dyDescent="0.35">
      <c r="B42" s="31" t="s">
        <v>146</v>
      </c>
      <c r="C42" s="31">
        <f>((D40-C40)/C40)*100</f>
        <v>-59.351938499056203</v>
      </c>
      <c r="M42" s="31" t="s">
        <v>147</v>
      </c>
    </row>
    <row r="43" spans="1:16" ht="15" customHeight="1" x14ac:dyDescent="0.35">
      <c r="B43" s="31" t="s">
        <v>148</v>
      </c>
      <c r="M43" s="31" t="s">
        <v>234</v>
      </c>
      <c r="O43" s="31">
        <v>0.59199999999999997</v>
      </c>
    </row>
    <row r="44" spans="1:16" ht="15" customHeight="1" x14ac:dyDescent="0.35">
      <c r="M44" s="31" t="s">
        <v>149</v>
      </c>
    </row>
    <row r="46" spans="1:16" ht="15" customHeight="1" x14ac:dyDescent="0.35">
      <c r="A46" s="31" t="s">
        <v>150</v>
      </c>
      <c r="M46" s="31" t="s">
        <v>151</v>
      </c>
    </row>
    <row r="47" spans="1:16" ht="15" customHeight="1" x14ac:dyDescent="0.35">
      <c r="M47" s="31" t="s">
        <v>118</v>
      </c>
      <c r="N47" s="31" t="s">
        <v>118</v>
      </c>
      <c r="O47" s="31" t="s">
        <v>119</v>
      </c>
      <c r="P47" s="31" t="s">
        <v>119</v>
      </c>
    </row>
    <row r="48" spans="1:16" ht="15" customHeight="1" x14ac:dyDescent="0.35">
      <c r="B48" s="31" t="s">
        <v>118</v>
      </c>
      <c r="C48" s="31" t="s">
        <v>119</v>
      </c>
      <c r="D48" s="31" t="s">
        <v>118</v>
      </c>
      <c r="E48" s="31" t="s">
        <v>119</v>
      </c>
      <c r="M48" s="31" t="s">
        <v>141</v>
      </c>
      <c r="N48" s="31" t="s">
        <v>142</v>
      </c>
      <c r="O48" s="31" t="s">
        <v>141</v>
      </c>
      <c r="P48" s="31" t="s">
        <v>142</v>
      </c>
    </row>
    <row r="49" spans="1:16" ht="15" customHeight="1" x14ac:dyDescent="0.35">
      <c r="B49" s="31" t="s">
        <v>141</v>
      </c>
      <c r="C49" s="31" t="s">
        <v>141</v>
      </c>
      <c r="D49" s="31" t="s">
        <v>142</v>
      </c>
      <c r="E49" s="31" t="s">
        <v>142</v>
      </c>
      <c r="M49" s="31">
        <f>(M40)*(O43)*1000</f>
        <v>2.2297063500033176</v>
      </c>
      <c r="N49" s="31">
        <f>(N40)*(O43)*1000</f>
        <v>2.2297063500033176</v>
      </c>
      <c r="O49" s="31">
        <f>(O40)*(O43)*1000</f>
        <v>0</v>
      </c>
      <c r="P49" s="31">
        <f>(P40)*(O43)*1000</f>
        <v>0</v>
      </c>
    </row>
    <row r="50" spans="1:16" ht="15" customHeight="1" x14ac:dyDescent="0.35">
      <c r="A50" s="31" t="s">
        <v>152</v>
      </c>
    </row>
    <row r="51" spans="1:16" ht="15" customHeight="1" x14ac:dyDescent="0.35">
      <c r="A51" s="31" t="s">
        <v>153</v>
      </c>
      <c r="M51" s="31" t="s">
        <v>154</v>
      </c>
    </row>
    <row r="52" spans="1:16" ht="15" customHeight="1" x14ac:dyDescent="0.35">
      <c r="A52" s="31" t="s">
        <v>155</v>
      </c>
      <c r="B52" s="31">
        <f>(M56)</f>
        <v>0.37905007950056402</v>
      </c>
      <c r="C52" s="31">
        <f>(O56)</f>
        <v>0</v>
      </c>
      <c r="D52" s="31">
        <f>(N56)</f>
        <v>0.37905007950056402</v>
      </c>
      <c r="E52" s="31">
        <f>(P56)</f>
        <v>0</v>
      </c>
    </row>
    <row r="53" spans="1:16" ht="15" customHeight="1" x14ac:dyDescent="0.35">
      <c r="M53" s="31" t="s">
        <v>156</v>
      </c>
    </row>
    <row r="54" spans="1:16" ht="15" customHeight="1" x14ac:dyDescent="0.35">
      <c r="A54" s="31" t="s">
        <v>157</v>
      </c>
      <c r="M54" s="31" t="s">
        <v>118</v>
      </c>
      <c r="N54" s="31" t="s">
        <v>118</v>
      </c>
      <c r="O54" s="31" t="s">
        <v>119</v>
      </c>
      <c r="P54" s="31" t="s">
        <v>119</v>
      </c>
    </row>
    <row r="55" spans="1:16" ht="15" customHeight="1" x14ac:dyDescent="0.35">
      <c r="A55" s="31" t="s">
        <v>158</v>
      </c>
      <c r="M55" s="31" t="s">
        <v>141</v>
      </c>
      <c r="N55" s="31" t="s">
        <v>142</v>
      </c>
      <c r="O55" s="31" t="s">
        <v>141</v>
      </c>
      <c r="P55" s="31" t="s">
        <v>142</v>
      </c>
    </row>
    <row r="56" spans="1:16" ht="15" customHeight="1" x14ac:dyDescent="0.35">
      <c r="A56" s="31" t="s">
        <v>159</v>
      </c>
      <c r="B56" s="31">
        <f>(A!R148)</f>
        <v>4.7281724027166421</v>
      </c>
      <c r="C56" s="31">
        <f>(A!R155)</f>
        <v>2.25946449590016</v>
      </c>
      <c r="D56" s="31">
        <f>(A!R242)</f>
        <v>4.7281724027166421</v>
      </c>
      <c r="E56" s="31">
        <f>(A!R249)</f>
        <v>2.25946449590016</v>
      </c>
      <c r="M56" s="31">
        <f>(A!T81*M49)</f>
        <v>0.37905007950056402</v>
      </c>
      <c r="N56" s="31">
        <f>(A!T81*N49)</f>
        <v>0.37905007950056402</v>
      </c>
      <c r="O56" s="31">
        <f>(A!T81*O49)</f>
        <v>0</v>
      </c>
      <c r="P56" s="31">
        <f>(A!T81*P49)</f>
        <v>0</v>
      </c>
    </row>
    <row r="57" spans="1:16" ht="15" customHeight="1" x14ac:dyDescent="0.35">
      <c r="A57" s="31" t="s">
        <v>160</v>
      </c>
      <c r="B57" s="31">
        <f>(A!Y148)</f>
        <v>3.0946822129839675</v>
      </c>
      <c r="C57" s="31">
        <f>(A!Y155)</f>
        <v>0.69343348036997565</v>
      </c>
      <c r="D57" s="31">
        <f>(A!Y242)</f>
        <v>3.0946822129839675</v>
      </c>
      <c r="E57" s="31">
        <f>(A!Y249)</f>
        <v>0.69343348036997565</v>
      </c>
    </row>
    <row r="58" spans="1:16" ht="15" customHeight="1" x14ac:dyDescent="0.35">
      <c r="A58" s="31" t="s">
        <v>161</v>
      </c>
      <c r="B58" s="31">
        <f>(A!AF148)</f>
        <v>3.150857722403765</v>
      </c>
      <c r="C58" s="31">
        <f>(A!AF155)</f>
        <v>0.71303278721488039</v>
      </c>
      <c r="D58" s="31">
        <f>(A!AF242)</f>
        <v>3.150857722403765</v>
      </c>
      <c r="E58" s="31">
        <f>(A!AF249)</f>
        <v>0.71303278721488039</v>
      </c>
    </row>
    <row r="59" spans="1:16" ht="15" customHeight="1" x14ac:dyDescent="0.35">
      <c r="A59" s="31" t="s">
        <v>162</v>
      </c>
      <c r="B59" s="31">
        <f>A!N83*B56+A!O83*B57+A!P83*B58</f>
        <v>3.2470705705407705</v>
      </c>
      <c r="C59" s="31">
        <f>A!N83*C56+A!O83*C57+A!P83*C58</f>
        <v>0.82083315922110522</v>
      </c>
      <c r="D59" s="31">
        <f>A!N83*D56+A!O83*D57+A!P83*D58</f>
        <v>3.2470705705407705</v>
      </c>
      <c r="E59" s="31">
        <f>A!N83*E56+A!O83*E57+A!P83*E58</f>
        <v>0.82083315922110522</v>
      </c>
    </row>
    <row r="61" spans="1:16" ht="15" customHeight="1" x14ac:dyDescent="0.35">
      <c r="A61" s="31" t="s">
        <v>163</v>
      </c>
      <c r="B61" s="31">
        <f>(B52+B59)</f>
        <v>3.6261206500413348</v>
      </c>
      <c r="C61" s="31">
        <f>(C52+C59)</f>
        <v>0.82083315922110522</v>
      </c>
      <c r="D61" s="31">
        <f>(D52+D59)</f>
        <v>3.6261206500413348</v>
      </c>
      <c r="E61" s="31">
        <f>(E52+E59)</f>
        <v>0.82083315922110522</v>
      </c>
    </row>
    <row r="62" spans="1:16" ht="15" customHeight="1" x14ac:dyDescent="0.35">
      <c r="A62" s="31" t="s">
        <v>164</v>
      </c>
    </row>
    <row r="63" spans="1:16" ht="15" customHeight="1" x14ac:dyDescent="0.35">
      <c r="B63" s="31" t="s">
        <v>165</v>
      </c>
      <c r="C63" s="31" t="s">
        <v>142</v>
      </c>
    </row>
    <row r="64" spans="1:16" ht="15" customHeight="1" x14ac:dyDescent="0.35">
      <c r="A64" s="31" t="s">
        <v>166</v>
      </c>
      <c r="B64" s="31">
        <f>((C61-B61)/B61)*100</f>
        <v>-77.363324653531635</v>
      </c>
      <c r="C64" s="31">
        <f>((E61-D61)/D61)*100</f>
        <v>-77.363324653531635</v>
      </c>
    </row>
    <row r="65" spans="1:1" ht="15" customHeight="1" x14ac:dyDescent="0.35">
      <c r="A65" s="31" t="s">
        <v>163</v>
      </c>
    </row>
    <row r="66" spans="1:1" ht="15" customHeight="1" x14ac:dyDescent="0.35">
      <c r="A66" s="31" t="s">
        <v>164</v>
      </c>
    </row>
  </sheetData>
  <sheetProtection password="F627" sheet="1" objects="1" scenarios="1"/>
  <mergeCells count="1">
    <mergeCell ref="A1:B1"/>
  </mergeCells>
  <phoneticPr fontId="3" type="noConversion"/>
  <pageMargins left="0.5" right="0.5" top="1.1666666666666667" bottom="1.1666666666666667" header="0.5" footer="0.5"/>
  <pageSetup scale="1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97"/>
  <sheetViews>
    <sheetView zoomScale="75" workbookViewId="0">
      <selection sqref="A1:K1"/>
    </sheetView>
  </sheetViews>
  <sheetFormatPr defaultColWidth="9.1796875" defaultRowHeight="12.5" x14ac:dyDescent="0.25"/>
  <cols>
    <col min="1" max="1" width="18.1796875" style="29" customWidth="1"/>
    <col min="2" max="19" width="15.1796875" style="29" customWidth="1"/>
    <col min="20" max="22" width="20.26953125" style="29" customWidth="1"/>
    <col min="23" max="16384" width="9.1796875" style="29"/>
  </cols>
  <sheetData>
    <row r="1" spans="1:9" ht="16" thickBot="1" x14ac:dyDescent="0.4">
      <c r="A1" s="36" t="s">
        <v>216</v>
      </c>
    </row>
    <row r="3" spans="1:9" ht="15.5" x14ac:dyDescent="0.35">
      <c r="A3" s="30" t="s">
        <v>52</v>
      </c>
      <c r="B3" s="31"/>
      <c r="C3" s="31"/>
    </row>
    <row r="5" spans="1:9" ht="15.5" x14ac:dyDescent="0.35">
      <c r="A5" s="31" t="s">
        <v>0</v>
      </c>
      <c r="B5" s="31" t="s">
        <v>53</v>
      </c>
      <c r="C5" s="31" t="s">
        <v>54</v>
      </c>
      <c r="E5" s="99"/>
      <c r="F5" s="32"/>
      <c r="G5" s="99"/>
    </row>
    <row r="6" spans="1:9" ht="15.5" x14ac:dyDescent="0.35">
      <c r="A6" s="31" t="s">
        <v>3</v>
      </c>
      <c r="B6" s="76">
        <f>A!B80</f>
        <v>7</v>
      </c>
      <c r="C6" s="76">
        <f>A!C80</f>
        <v>7</v>
      </c>
      <c r="E6" s="99"/>
      <c r="F6" s="100"/>
      <c r="G6" s="99"/>
    </row>
    <row r="7" spans="1:9" ht="15.5" x14ac:dyDescent="0.35">
      <c r="A7" s="31" t="s">
        <v>5</v>
      </c>
      <c r="B7" s="77">
        <f>A!B81</f>
        <v>213</v>
      </c>
      <c r="C7" s="77">
        <f>A!C81</f>
        <v>0</v>
      </c>
      <c r="E7" s="99"/>
      <c r="F7" s="101"/>
      <c r="G7" s="99"/>
    </row>
    <row r="8" spans="1:9" ht="15.5" x14ac:dyDescent="0.35">
      <c r="A8" s="31" t="s">
        <v>7</v>
      </c>
      <c r="B8" s="77">
        <f>A!B82</f>
        <v>305</v>
      </c>
      <c r="C8" s="77">
        <f>A!C82</f>
        <v>0</v>
      </c>
      <c r="E8" s="99"/>
      <c r="F8" s="102"/>
      <c r="G8" s="99"/>
    </row>
    <row r="9" spans="1:9" ht="15.5" x14ac:dyDescent="0.35">
      <c r="A9" s="31" t="s">
        <v>8</v>
      </c>
      <c r="B9" s="70">
        <f>A!B83</f>
        <v>25</v>
      </c>
      <c r="C9" s="70">
        <f>A!C83</f>
        <v>0</v>
      </c>
      <c r="E9" s="99"/>
      <c r="F9" s="99"/>
      <c r="G9" s="99"/>
    </row>
    <row r="10" spans="1:9" ht="15.5" x14ac:dyDescent="0.35">
      <c r="A10" s="31" t="s">
        <v>10</v>
      </c>
      <c r="B10" s="70">
        <f>A!B84</f>
        <v>6</v>
      </c>
      <c r="C10" s="70">
        <f>A!C84</f>
        <v>0</v>
      </c>
    </row>
    <row r="11" spans="1:9" ht="15.5" x14ac:dyDescent="0.35">
      <c r="A11" s="31" t="s">
        <v>36</v>
      </c>
      <c r="B11" s="70">
        <f>A!B85</f>
        <v>2</v>
      </c>
      <c r="C11" s="70">
        <f>A!C85</f>
        <v>0</v>
      </c>
    </row>
    <row r="12" spans="1:9" ht="15.5" x14ac:dyDescent="0.35">
      <c r="A12" s="31" t="s">
        <v>16</v>
      </c>
      <c r="B12" s="77">
        <f>A!B86</f>
        <v>20</v>
      </c>
      <c r="C12" s="77">
        <f>A!C86</f>
        <v>0</v>
      </c>
    </row>
    <row r="15" spans="1:9" ht="15.5" x14ac:dyDescent="0.35">
      <c r="A15" s="31" t="s">
        <v>72</v>
      </c>
      <c r="B15" s="31"/>
      <c r="C15" s="31"/>
      <c r="D15" s="46"/>
      <c r="E15" s="31"/>
      <c r="F15" s="31"/>
      <c r="G15" s="31"/>
      <c r="H15" s="31"/>
      <c r="I15" s="31"/>
    </row>
    <row r="16" spans="1:9" ht="15.5" x14ac:dyDescent="0.35">
      <c r="A16" s="31"/>
      <c r="B16" s="31" t="s">
        <v>58</v>
      </c>
      <c r="C16" s="31" t="s">
        <v>58</v>
      </c>
      <c r="D16" s="46"/>
      <c r="E16" s="31" t="s">
        <v>59</v>
      </c>
      <c r="F16" s="31" t="s">
        <v>59</v>
      </c>
      <c r="G16" s="31"/>
      <c r="H16" s="31" t="s">
        <v>60</v>
      </c>
      <c r="I16" s="31" t="s">
        <v>60</v>
      </c>
    </row>
    <row r="17" spans="1:20" ht="15.5" x14ac:dyDescent="0.35">
      <c r="A17" s="31" t="s">
        <v>0</v>
      </c>
      <c r="B17" s="31" t="s">
        <v>73</v>
      </c>
      <c r="C17" s="31" t="s">
        <v>74</v>
      </c>
      <c r="D17" s="46"/>
      <c r="E17" s="31" t="s">
        <v>73</v>
      </c>
      <c r="F17" s="31" t="s">
        <v>74</v>
      </c>
      <c r="G17" s="31"/>
      <c r="H17" s="31" t="s">
        <v>73</v>
      </c>
      <c r="I17" s="31" t="s">
        <v>74</v>
      </c>
    </row>
    <row r="18" spans="1:20" ht="15.5" x14ac:dyDescent="0.35">
      <c r="A18" s="31" t="s">
        <v>3</v>
      </c>
      <c r="B18" s="37">
        <v>8.6708920000000003</v>
      </c>
      <c r="C18" s="37">
        <v>0.63506600000000002</v>
      </c>
      <c r="D18" s="37"/>
      <c r="E18" s="37">
        <v>8.3654150000000005</v>
      </c>
      <c r="F18" s="37">
        <v>0.88911399999999996</v>
      </c>
      <c r="G18" s="37"/>
      <c r="H18" s="37">
        <v>8.2217000000000002</v>
      </c>
      <c r="I18" s="37">
        <v>0.90283800000000003</v>
      </c>
      <c r="K18" s="31"/>
      <c r="L18" s="31"/>
      <c r="M18" s="31"/>
      <c r="O18" s="31" t="s">
        <v>226</v>
      </c>
    </row>
    <row r="19" spans="1:20" ht="15.5" x14ac:dyDescent="0.35">
      <c r="A19" s="31" t="s">
        <v>5</v>
      </c>
      <c r="B19" s="37">
        <v>212.24518800000001</v>
      </c>
      <c r="C19" s="37">
        <v>15.880385</v>
      </c>
      <c r="D19" s="37"/>
      <c r="E19" s="37">
        <v>205.26105100000001</v>
      </c>
      <c r="F19" s="37">
        <v>17.324472</v>
      </c>
      <c r="G19" s="37"/>
      <c r="H19" s="37">
        <v>206.02087</v>
      </c>
      <c r="I19" s="37">
        <v>16.582090000000001</v>
      </c>
      <c r="K19" s="31"/>
      <c r="L19" s="31"/>
      <c r="M19" s="31"/>
      <c r="O19" s="31"/>
      <c r="P19" s="31" t="s">
        <v>75</v>
      </c>
      <c r="Q19" s="31" t="s">
        <v>205</v>
      </c>
    </row>
    <row r="20" spans="1:20" ht="15.5" x14ac:dyDescent="0.35">
      <c r="A20" s="31" t="s">
        <v>7</v>
      </c>
      <c r="B20" s="37">
        <v>312.12159600000001</v>
      </c>
      <c r="C20" s="37">
        <v>23.264683999999999</v>
      </c>
      <c r="D20" s="37"/>
      <c r="E20" s="37">
        <v>310.931422</v>
      </c>
      <c r="F20" s="37">
        <v>20.847425000000001</v>
      </c>
      <c r="G20" s="37"/>
      <c r="H20" s="37">
        <v>310.5702</v>
      </c>
      <c r="I20" s="37">
        <v>22.967590999999999</v>
      </c>
      <c r="K20" s="31"/>
      <c r="L20" s="77"/>
      <c r="M20" s="77"/>
    </row>
    <row r="21" spans="1:20" ht="15.5" x14ac:dyDescent="0.35">
      <c r="A21" s="31" t="s">
        <v>8</v>
      </c>
      <c r="B21" s="37">
        <v>30.212969000000001</v>
      </c>
      <c r="C21" s="37">
        <v>8.6820439999999994</v>
      </c>
      <c r="D21" s="37"/>
      <c r="E21" s="37">
        <v>27.317136999999999</v>
      </c>
      <c r="F21" s="37">
        <v>6.880833</v>
      </c>
      <c r="G21" s="37"/>
      <c r="H21" s="37">
        <v>26.875944</v>
      </c>
      <c r="I21" s="37">
        <v>6.6003119999999997</v>
      </c>
    </row>
    <row r="22" spans="1:20" ht="15.5" x14ac:dyDescent="0.35">
      <c r="A22" s="31" t="s">
        <v>10</v>
      </c>
      <c r="B22" s="37">
        <v>7.3596240000000002</v>
      </c>
      <c r="C22" s="37">
        <v>5.3838039999999996</v>
      </c>
      <c r="D22" s="37"/>
      <c r="E22" s="37">
        <v>6.5494500000000002</v>
      </c>
      <c r="F22" s="37">
        <v>4.7153450000000001</v>
      </c>
      <c r="G22" s="37"/>
      <c r="H22" s="37">
        <v>6.2518909999999996</v>
      </c>
      <c r="I22" s="37">
        <v>4.431845</v>
      </c>
    </row>
    <row r="23" spans="1:20" ht="15.5" x14ac:dyDescent="0.35">
      <c r="A23" s="31" t="s">
        <v>36</v>
      </c>
      <c r="B23" s="37">
        <v>0.89236300000000002</v>
      </c>
      <c r="C23" s="37">
        <v>1.2354050000000001</v>
      </c>
      <c r="D23" s="37"/>
      <c r="E23" s="37">
        <v>1.536017</v>
      </c>
      <c r="F23" s="37">
        <v>1.2488870000000001</v>
      </c>
      <c r="G23" s="37"/>
      <c r="H23" s="37">
        <v>1.5517719999999999</v>
      </c>
      <c r="I23" s="37">
        <v>1.262823</v>
      </c>
      <c r="O23" s="31" t="s">
        <v>225</v>
      </c>
      <c r="P23" s="31">
        <f>ROUND((10.152-0.0315*C7),1)</f>
        <v>10.199999999999999</v>
      </c>
      <c r="Q23" s="31">
        <f>IF(C11&gt;P23,P23,C11)</f>
        <v>0</v>
      </c>
    </row>
    <row r="24" spans="1:20" ht="15.5" x14ac:dyDescent="0.35">
      <c r="A24" s="31" t="s">
        <v>16</v>
      </c>
      <c r="B24" s="37">
        <v>139.69108</v>
      </c>
      <c r="C24" s="37">
        <v>126.74145900000001</v>
      </c>
      <c r="D24" s="37"/>
      <c r="E24" s="37">
        <v>154.12082799999999</v>
      </c>
      <c r="F24" s="37">
        <v>136.79044999999999</v>
      </c>
      <c r="G24" s="37"/>
      <c r="H24" s="37">
        <v>144.62890100000001</v>
      </c>
      <c r="I24" s="37">
        <v>140.91223400000001</v>
      </c>
    </row>
    <row r="27" spans="1:20" ht="15.5" x14ac:dyDescent="0.35">
      <c r="A27" s="31" t="s">
        <v>77</v>
      </c>
      <c r="B27" s="31"/>
      <c r="C27" s="31"/>
      <c r="D27" s="46"/>
      <c r="E27" s="31"/>
      <c r="F27" s="31"/>
      <c r="G27" s="31"/>
      <c r="H27" s="31" t="s">
        <v>189</v>
      </c>
      <c r="I27" s="31"/>
      <c r="J27" s="31"/>
      <c r="K27" s="31" t="s">
        <v>190</v>
      </c>
      <c r="L27" s="31"/>
      <c r="M27" s="31"/>
      <c r="N27" s="31" t="s">
        <v>189</v>
      </c>
      <c r="O27" s="31"/>
      <c r="P27" s="31"/>
      <c r="Q27" s="31" t="s">
        <v>190</v>
      </c>
      <c r="R27" s="31"/>
      <c r="S27" s="31"/>
      <c r="T27" s="31"/>
    </row>
    <row r="28" spans="1:20" ht="15.5" x14ac:dyDescent="0.35">
      <c r="A28" s="31"/>
      <c r="B28" s="31" t="s">
        <v>53</v>
      </c>
      <c r="C28" s="31" t="s">
        <v>53</v>
      </c>
      <c r="D28" s="46" t="s">
        <v>53</v>
      </c>
      <c r="E28" s="31" t="s">
        <v>54</v>
      </c>
      <c r="F28" s="31" t="s">
        <v>54</v>
      </c>
      <c r="G28" s="31" t="s">
        <v>54</v>
      </c>
      <c r="H28" s="31" t="s">
        <v>187</v>
      </c>
      <c r="I28" s="31"/>
      <c r="J28" s="31"/>
      <c r="K28" s="31" t="s">
        <v>187</v>
      </c>
      <c r="L28" s="31"/>
      <c r="M28" s="31"/>
      <c r="N28" s="31" t="s">
        <v>188</v>
      </c>
      <c r="O28" s="31"/>
      <c r="P28" s="31"/>
      <c r="Q28" s="31" t="s">
        <v>188</v>
      </c>
      <c r="R28" s="31"/>
      <c r="S28" s="31"/>
      <c r="T28" s="31"/>
    </row>
    <row r="29" spans="1:20" ht="15.5" x14ac:dyDescent="0.35">
      <c r="A29" s="31" t="s">
        <v>0</v>
      </c>
      <c r="B29" s="31" t="s">
        <v>58</v>
      </c>
      <c r="C29" s="31" t="s">
        <v>59</v>
      </c>
      <c r="D29" s="31" t="s">
        <v>79</v>
      </c>
      <c r="E29" s="31" t="s">
        <v>58</v>
      </c>
      <c r="F29" s="31" t="s">
        <v>199</v>
      </c>
      <c r="G29" s="31" t="s">
        <v>79</v>
      </c>
      <c r="H29" s="31" t="s">
        <v>159</v>
      </c>
      <c r="I29" s="31" t="s">
        <v>160</v>
      </c>
      <c r="J29" s="31" t="s">
        <v>161</v>
      </c>
      <c r="K29" s="31" t="s">
        <v>159</v>
      </c>
      <c r="L29" s="31" t="s">
        <v>160</v>
      </c>
      <c r="M29" s="31" t="s">
        <v>161</v>
      </c>
      <c r="N29" s="31" t="s">
        <v>159</v>
      </c>
      <c r="O29" s="31" t="s">
        <v>160</v>
      </c>
      <c r="P29" s="31" t="s">
        <v>161</v>
      </c>
      <c r="Q29" s="31" t="s">
        <v>159</v>
      </c>
      <c r="R29" s="31" t="s">
        <v>160</v>
      </c>
      <c r="S29" s="31" t="s">
        <v>161</v>
      </c>
      <c r="T29" s="31"/>
    </row>
    <row r="30" spans="1:20" ht="15.5" x14ac:dyDescent="0.35">
      <c r="A30" s="31" t="s">
        <v>191</v>
      </c>
      <c r="B30" s="37">
        <v>1</v>
      </c>
      <c r="C30" s="37">
        <v>1</v>
      </c>
      <c r="D30" s="37">
        <v>1</v>
      </c>
      <c r="E30" s="37">
        <v>1</v>
      </c>
      <c r="F30" s="37">
        <v>1</v>
      </c>
      <c r="G30" s="37">
        <v>1</v>
      </c>
      <c r="H30" s="103">
        <v>1.6156133159999999</v>
      </c>
      <c r="I30" s="103">
        <v>1.1952459150000001</v>
      </c>
      <c r="J30" s="103">
        <v>-0.2405211434</v>
      </c>
      <c r="K30" s="103">
        <f t="shared" ref="K30:K45" si="0">H30</f>
        <v>1.6156133159999999</v>
      </c>
      <c r="L30" s="103">
        <f t="shared" ref="L30:L45" si="1">I30</f>
        <v>1.1952459150000001</v>
      </c>
      <c r="M30" s="103">
        <f t="shared" ref="M30:M45" si="2">J30</f>
        <v>-0.2405211434</v>
      </c>
      <c r="N30" s="37">
        <f t="shared" ref="N30:N45" si="3">B30*H30</f>
        <v>1.6156133159999999</v>
      </c>
      <c r="O30" s="37">
        <f t="shared" ref="O30:O45" si="4">C30*I30</f>
        <v>1.1952459150000001</v>
      </c>
      <c r="P30" s="37">
        <f t="shared" ref="P30:P45" si="5">D30*J30</f>
        <v>-0.2405211434</v>
      </c>
      <c r="Q30" s="37">
        <f t="shared" ref="Q30:Q45" si="6">E30*K30</f>
        <v>1.6156133159999999</v>
      </c>
      <c r="R30" s="37">
        <f t="shared" ref="R30:R45" si="7">F30*L30</f>
        <v>1.1952459150000001</v>
      </c>
      <c r="S30" s="37">
        <f t="shared" ref="S30:S45" si="8">G30*M30</f>
        <v>-0.2405211434</v>
      </c>
      <c r="T30" s="37"/>
    </row>
    <row r="31" spans="1:20" ht="15.5" x14ac:dyDescent="0.35">
      <c r="A31" s="31" t="s">
        <v>192</v>
      </c>
      <c r="B31" s="37">
        <f t="shared" ref="B31:B37" si="9">(B6-B18)/C18</f>
        <v>-2.6310525205254263</v>
      </c>
      <c r="C31" s="37">
        <f t="shared" ref="C31:C37" si="10">(B6-E18)/F18</f>
        <v>-1.5357029582258299</v>
      </c>
      <c r="D31" s="37">
        <f t="shared" ref="D31:D37" si="11">(B6-H18)/I18</f>
        <v>-1.3531774249643902</v>
      </c>
      <c r="E31" s="37">
        <f t="shared" ref="E31:E37" si="12">(C6-B18)/C18</f>
        <v>-2.6310525205254263</v>
      </c>
      <c r="F31" s="37">
        <f>(C6-E18)/F18</f>
        <v>-1.5357029582258299</v>
      </c>
      <c r="G31" s="37">
        <f>(C6-H18)/I18</f>
        <v>-1.3531774249643902</v>
      </c>
      <c r="H31" s="103">
        <v>-4.5939249999999996E-3</v>
      </c>
      <c r="I31" s="103">
        <v>1.6850751000000001E-2</v>
      </c>
      <c r="J31" s="103">
        <v>1.0447374400000001E-2</v>
      </c>
      <c r="K31" s="103">
        <f t="shared" si="0"/>
        <v>-4.5939249999999996E-3</v>
      </c>
      <c r="L31" s="103">
        <f t="shared" si="1"/>
        <v>1.6850751000000001E-2</v>
      </c>
      <c r="M31" s="103">
        <f t="shared" si="2"/>
        <v>1.0447374400000001E-2</v>
      </c>
      <c r="N31" s="37">
        <f t="shared" si="3"/>
        <v>1.2086857950354768E-2</v>
      </c>
      <c r="O31" s="37">
        <f t="shared" si="4"/>
        <v>-2.5877748159026864E-2</v>
      </c>
      <c r="P31" s="37">
        <f t="shared" si="5"/>
        <v>-1.4137151188230892E-2</v>
      </c>
      <c r="Q31" s="37">
        <f t="shared" si="6"/>
        <v>1.2086857950354768E-2</v>
      </c>
      <c r="R31" s="37">
        <f t="shared" si="7"/>
        <v>-2.5877748159026864E-2</v>
      </c>
      <c r="S31" s="37">
        <f t="shared" si="8"/>
        <v>-1.4137151188230892E-2</v>
      </c>
      <c r="T31" s="37"/>
    </row>
    <row r="32" spans="1:20" ht="15.5" x14ac:dyDescent="0.35">
      <c r="A32" s="31" t="s">
        <v>193</v>
      </c>
      <c r="B32" s="37">
        <f t="shared" si="9"/>
        <v>4.753108945406468E-2</v>
      </c>
      <c r="C32" s="37">
        <f t="shared" si="10"/>
        <v>0.44670619687572533</v>
      </c>
      <c r="D32" s="37">
        <f t="shared" si="11"/>
        <v>0.42088361599774199</v>
      </c>
      <c r="E32" s="37">
        <f t="shared" si="12"/>
        <v>-13.365241963592194</v>
      </c>
      <c r="F32" s="37">
        <f>(C7-E19)/F19</f>
        <v>-11.848040794547735</v>
      </c>
      <c r="G32" s="37">
        <f>(C7-H19)/I19</f>
        <v>-12.424300555599444</v>
      </c>
      <c r="H32" s="103">
        <v>9.8965140000000004E-3</v>
      </c>
      <c r="I32" s="103">
        <v>2.2750201000000001E-2</v>
      </c>
      <c r="J32" s="103">
        <v>1.81947194E-2</v>
      </c>
      <c r="K32" s="103">
        <f t="shared" si="0"/>
        <v>9.8965140000000004E-3</v>
      </c>
      <c r="L32" s="103">
        <f t="shared" si="1"/>
        <v>2.2750201000000001E-2</v>
      </c>
      <c r="M32" s="103">
        <f t="shared" si="2"/>
        <v>1.81947194E-2</v>
      </c>
      <c r="N32" s="37">
        <f t="shared" si="3"/>
        <v>4.703920922174035E-4</v>
      </c>
      <c r="O32" s="37">
        <f t="shared" si="4"/>
        <v>1.0162655766868324E-2</v>
      </c>
      <c r="P32" s="37">
        <f t="shared" si="5"/>
        <v>7.6578592931362665E-3</v>
      </c>
      <c r="Q32" s="37">
        <f t="shared" si="6"/>
        <v>-0.13226930420607763</v>
      </c>
      <c r="R32" s="37">
        <f t="shared" si="7"/>
        <v>-0.26954530953216072</v>
      </c>
      <c r="S32" s="37">
        <f t="shared" si="8"/>
        <v>-0.22605666235039598</v>
      </c>
      <c r="T32" s="37"/>
    </row>
    <row r="33" spans="1:20" ht="15.5" x14ac:dyDescent="0.35">
      <c r="A33" s="31" t="s">
        <v>194</v>
      </c>
      <c r="B33" s="37">
        <f t="shared" si="9"/>
        <v>-0.30611187325819733</v>
      </c>
      <c r="C33" s="37">
        <f t="shared" si="10"/>
        <v>-0.28451580950644972</v>
      </c>
      <c r="D33" s="37">
        <f t="shared" si="11"/>
        <v>-0.24252434658906979</v>
      </c>
      <c r="E33" s="37">
        <f t="shared" si="12"/>
        <v>-13.416111562056894</v>
      </c>
      <c r="F33" s="37">
        <f>(M67-E20)/F20</f>
        <v>-14.914620007027246</v>
      </c>
      <c r="G33" s="37">
        <f>(C8-H20)/I20</f>
        <v>-13.52210599709826</v>
      </c>
      <c r="H33" s="103">
        <v>-2.544859E-2</v>
      </c>
      <c r="I33" s="103">
        <v>-8.820128E-3</v>
      </c>
      <c r="J33" s="103">
        <v>-0.12829589629999999</v>
      </c>
      <c r="K33" s="103">
        <f t="shared" si="0"/>
        <v>-2.544859E-2</v>
      </c>
      <c r="L33" s="103">
        <f t="shared" si="1"/>
        <v>-8.820128E-3</v>
      </c>
      <c r="M33" s="103">
        <f t="shared" si="2"/>
        <v>-0.12829589629999999</v>
      </c>
      <c r="N33" s="37">
        <f t="shared" si="3"/>
        <v>7.7901155566798283E-3</v>
      </c>
      <c r="O33" s="37">
        <f t="shared" si="4"/>
        <v>2.5094658578705036E-3</v>
      </c>
      <c r="P33" s="37">
        <f t="shared" si="5"/>
        <v>3.1114878420216555E-2</v>
      </c>
      <c r="Q33" s="37">
        <f t="shared" si="6"/>
        <v>0.34142112253704548</v>
      </c>
      <c r="R33" s="37">
        <f t="shared" si="7"/>
        <v>0.1315488575333412</v>
      </c>
      <c r="S33" s="37">
        <f t="shared" si="8"/>
        <v>1.7348307087613264</v>
      </c>
      <c r="T33" s="37"/>
    </row>
    <row r="34" spans="1:20" ht="15.5" x14ac:dyDescent="0.35">
      <c r="A34" s="31" t="s">
        <v>195</v>
      </c>
      <c r="B34" s="37">
        <f t="shared" si="9"/>
        <v>-0.60043107360432657</v>
      </c>
      <c r="C34" s="37">
        <f t="shared" si="10"/>
        <v>-0.3367523961125054</v>
      </c>
      <c r="D34" s="37">
        <f t="shared" si="11"/>
        <v>-0.28422050351559147</v>
      </c>
      <c r="E34" s="37">
        <f t="shared" si="12"/>
        <v>-3.4799373281222721</v>
      </c>
      <c r="F34" s="37">
        <f>(C9-E21)/F21</f>
        <v>-3.9700334247321507</v>
      </c>
      <c r="G34" s="37">
        <f>(C9-H21)/I21</f>
        <v>-4.0719202364979115</v>
      </c>
      <c r="H34" s="103">
        <v>8.5540501000000005E-2</v>
      </c>
      <c r="I34" s="103">
        <v>2.5959996999999999E-2</v>
      </c>
      <c r="J34" s="103">
        <v>2.57751167E-2</v>
      </c>
      <c r="K34" s="103">
        <f t="shared" si="0"/>
        <v>8.5540501000000005E-2</v>
      </c>
      <c r="L34" s="103">
        <f t="shared" si="1"/>
        <v>2.5959996999999999E-2</v>
      </c>
      <c r="M34" s="103">
        <f t="shared" si="2"/>
        <v>2.57751167E-2</v>
      </c>
      <c r="N34" s="37">
        <f t="shared" si="3"/>
        <v>-5.1361174852081977E-2</v>
      </c>
      <c r="O34" s="37">
        <f t="shared" si="4"/>
        <v>-8.7420911928234521E-3</v>
      </c>
      <c r="P34" s="37">
        <f t="shared" si="5"/>
        <v>-7.3258166466471306E-3</v>
      </c>
      <c r="Q34" s="37">
        <f t="shared" si="6"/>
        <v>-0.29767558249618054</v>
      </c>
      <c r="R34" s="37">
        <f t="shared" si="7"/>
        <v>-0.10306205579594635</v>
      </c>
      <c r="S34" s="37">
        <f t="shared" si="8"/>
        <v>-0.10495421928882527</v>
      </c>
      <c r="T34" s="37"/>
    </row>
    <row r="35" spans="1:20" ht="15.5" x14ac:dyDescent="0.35">
      <c r="A35" s="31" t="s">
        <v>196</v>
      </c>
      <c r="B35" s="37">
        <f t="shared" si="9"/>
        <v>-0.25253965411816631</v>
      </c>
      <c r="C35" s="37">
        <f t="shared" si="10"/>
        <v>-0.1165238174513212</v>
      </c>
      <c r="D35" s="37">
        <f t="shared" si="11"/>
        <v>-5.6836599655448156E-2</v>
      </c>
      <c r="E35" s="37">
        <f t="shared" si="12"/>
        <v>-1.3669933006476462</v>
      </c>
      <c r="F35" s="37">
        <f>(C10-E22)/F22</f>
        <v>-1.3889651764611073</v>
      </c>
      <c r="G35" s="37">
        <f>(C10-H22)/I22</f>
        <v>-1.4106745610462459</v>
      </c>
      <c r="H35" s="103">
        <v>2.4163990000000001E-3</v>
      </c>
      <c r="I35" s="103">
        <v>1.263248E-3</v>
      </c>
      <c r="J35" s="103">
        <v>5.0012677999999996E-3</v>
      </c>
      <c r="K35" s="103">
        <f t="shared" si="0"/>
        <v>2.4163990000000001E-3</v>
      </c>
      <c r="L35" s="103">
        <f t="shared" si="1"/>
        <v>1.263248E-3</v>
      </c>
      <c r="M35" s="103">
        <f t="shared" si="2"/>
        <v>5.0012677999999996E-3</v>
      </c>
      <c r="N35" s="37">
        <f t="shared" si="3"/>
        <v>-6.1023656767148296E-4</v>
      </c>
      <c r="O35" s="37">
        <f t="shared" si="4"/>
        <v>-1.471984793477466E-4</v>
      </c>
      <c r="P35" s="37">
        <f t="shared" si="5"/>
        <v>-2.8425505571828396E-4</v>
      </c>
      <c r="Q35" s="37">
        <f t="shared" si="6"/>
        <v>-3.3032012446916718E-3</v>
      </c>
      <c r="R35" s="37">
        <f t="shared" si="7"/>
        <v>-1.7546074812341409E-3</v>
      </c>
      <c r="S35" s="37">
        <f t="shared" si="8"/>
        <v>-7.0551612584397235E-3</v>
      </c>
      <c r="T35" s="37"/>
    </row>
    <row r="36" spans="1:20" ht="15.5" x14ac:dyDescent="0.35">
      <c r="A36" s="31" t="s">
        <v>197</v>
      </c>
      <c r="B36" s="37">
        <f t="shared" si="9"/>
        <v>0.89657804525641382</v>
      </c>
      <c r="C36" s="37">
        <f t="shared" si="10"/>
        <v>0.37151719891391294</v>
      </c>
      <c r="D36" s="37">
        <f t="shared" si="11"/>
        <v>0.35494127047100033</v>
      </c>
      <c r="E36" s="37">
        <f t="shared" si="12"/>
        <v>-0.72232425803683808</v>
      </c>
      <c r="F36" s="37">
        <f>(C11-E23)/F23</f>
        <v>-1.2299087107160214</v>
      </c>
      <c r="G36" s="37">
        <f>(Q23-H23)/I23</f>
        <v>-1.2288119554363517</v>
      </c>
      <c r="H36" s="103">
        <v>-6.8985719000000001E-2</v>
      </c>
      <c r="I36" s="103">
        <v>-5.2529982000000003E-2</v>
      </c>
      <c r="J36" s="103">
        <v>-8.7966958200000001E-2</v>
      </c>
      <c r="K36" s="103">
        <f t="shared" si="0"/>
        <v>-6.8985719000000001E-2</v>
      </c>
      <c r="L36" s="103">
        <f t="shared" si="1"/>
        <v>-5.2529982000000003E-2</v>
      </c>
      <c r="M36" s="103">
        <f t="shared" si="2"/>
        <v>-8.7966958200000001E-2</v>
      </c>
      <c r="N36" s="37">
        <f t="shared" si="3"/>
        <v>-6.1851081091628249E-2</v>
      </c>
      <c r="O36" s="37">
        <f t="shared" si="4"/>
        <v>-1.9515791771638268E-2</v>
      </c>
      <c r="P36" s="37">
        <f t="shared" si="5"/>
        <v>-3.1223103902977379E-2</v>
      </c>
      <c r="Q36" s="37">
        <f t="shared" si="6"/>
        <v>4.9830058291812807E-2</v>
      </c>
      <c r="R36" s="37">
        <f t="shared" si="7"/>
        <v>6.460708243555581E-2</v>
      </c>
      <c r="S36" s="37">
        <f t="shared" si="8"/>
        <v>0.10809484991952981</v>
      </c>
      <c r="T36" s="37"/>
    </row>
    <row r="37" spans="1:20" ht="15.5" x14ac:dyDescent="0.35">
      <c r="A37" s="31" t="s">
        <v>198</v>
      </c>
      <c r="B37" s="37">
        <f t="shared" si="9"/>
        <v>-0.94437195961267884</v>
      </c>
      <c r="C37" s="37">
        <f t="shared" si="10"/>
        <v>-0.98048385687743544</v>
      </c>
      <c r="D37" s="37">
        <f t="shared" si="11"/>
        <v>-0.88444344016290311</v>
      </c>
      <c r="E37" s="37">
        <f t="shared" si="12"/>
        <v>-1.102173520031831</v>
      </c>
      <c r="F37" s="37">
        <f>(C12-E24)/F24</f>
        <v>-1.1266928941311327</v>
      </c>
      <c r="G37" s="37">
        <f>(C12-H24)/I24</f>
        <v>-1.0263757581190573</v>
      </c>
      <c r="H37" s="103">
        <v>3.1848952E-2</v>
      </c>
      <c r="I37" s="103">
        <v>7.3615824999999996E-2</v>
      </c>
      <c r="J37" s="103">
        <v>0.1236494206</v>
      </c>
      <c r="K37" s="103">
        <f t="shared" si="0"/>
        <v>3.1848952E-2</v>
      </c>
      <c r="L37" s="103">
        <f t="shared" si="1"/>
        <v>7.3615824999999996E-2</v>
      </c>
      <c r="M37" s="103">
        <f t="shared" si="2"/>
        <v>0.1236494206</v>
      </c>
      <c r="N37" s="37">
        <f t="shared" si="3"/>
        <v>-3.0077257211850148E-2</v>
      </c>
      <c r="O37" s="37">
        <f t="shared" si="4"/>
        <v>-7.2179128023214328E-2</v>
      </c>
      <c r="P37" s="37">
        <f t="shared" si="5"/>
        <v>-0.10936091892961375</v>
      </c>
      <c r="Q37" s="37">
        <f t="shared" si="6"/>
        <v>-3.5103071535164822E-2</v>
      </c>
      <c r="R37" s="37">
        <f t="shared" si="7"/>
        <v>-8.2942426923100984E-2</v>
      </c>
      <c r="S37" s="37">
        <f t="shared" si="8"/>
        <v>-0.12691076780930718</v>
      </c>
      <c r="T37" s="37"/>
    </row>
    <row r="38" spans="1:20" ht="15.5" x14ac:dyDescent="0.35">
      <c r="A38" s="31" t="s">
        <v>86</v>
      </c>
      <c r="B38" s="37">
        <f t="shared" ref="B38:G38" si="13">B32*B33</f>
        <v>-1.4549830830786687E-2</v>
      </c>
      <c r="C38" s="37">
        <f t="shared" si="13"/>
        <v>-0.1270949752156445</v>
      </c>
      <c r="D38" s="37">
        <f t="shared" si="13"/>
        <v>-0.10207452395989734</v>
      </c>
      <c r="E38" s="37">
        <f t="shared" si="13"/>
        <v>179.30957723743722</v>
      </c>
      <c r="F38" s="37">
        <f t="shared" si="13"/>
        <v>176.70902627843662</v>
      </c>
      <c r="G38" s="37">
        <f t="shared" si="13"/>
        <v>168.00270905262249</v>
      </c>
      <c r="H38" s="103">
        <v>1.7462966999999999E-2</v>
      </c>
      <c r="I38" s="103">
        <v>0</v>
      </c>
      <c r="J38" s="37">
        <v>0</v>
      </c>
      <c r="K38" s="103">
        <f t="shared" si="0"/>
        <v>1.7462966999999999E-2</v>
      </c>
      <c r="L38" s="103">
        <f t="shared" si="1"/>
        <v>0</v>
      </c>
      <c r="M38" s="103">
        <f t="shared" si="2"/>
        <v>0</v>
      </c>
      <c r="N38" s="37">
        <f t="shared" si="3"/>
        <v>-2.5408321565361047E-4</v>
      </c>
      <c r="O38" s="37">
        <f t="shared" si="4"/>
        <v>0</v>
      </c>
      <c r="P38" s="37">
        <f t="shared" si="5"/>
        <v>0</v>
      </c>
      <c r="Q38" s="37">
        <f t="shared" si="6"/>
        <v>3.1312772300813174</v>
      </c>
      <c r="R38" s="37">
        <f t="shared" si="7"/>
        <v>0</v>
      </c>
      <c r="S38" s="37">
        <f t="shared" si="8"/>
        <v>0</v>
      </c>
      <c r="T38" s="37"/>
    </row>
    <row r="39" spans="1:20" ht="15.5" x14ac:dyDescent="0.35">
      <c r="A39" s="31" t="s">
        <v>98</v>
      </c>
      <c r="B39" s="37">
        <f t="shared" ref="B39:G39" si="14">B37*B37</f>
        <v>0.89183839810269105</v>
      </c>
      <c r="C39" s="37">
        <f t="shared" si="14"/>
        <v>0.96134859359725133</v>
      </c>
      <c r="D39" s="37">
        <f t="shared" si="14"/>
        <v>0.78224019884719076</v>
      </c>
      <c r="E39" s="37">
        <f t="shared" si="14"/>
        <v>1.214786468259357</v>
      </c>
      <c r="F39" s="37">
        <f t="shared" si="14"/>
        <v>1.2694368776855878</v>
      </c>
      <c r="G39" s="37">
        <f t="shared" si="14"/>
        <v>1.0534471968544696</v>
      </c>
      <c r="H39" s="37">
        <v>0</v>
      </c>
      <c r="I39" s="103">
        <v>0</v>
      </c>
      <c r="J39" s="37">
        <v>0</v>
      </c>
      <c r="K39" s="103">
        <f t="shared" si="0"/>
        <v>0</v>
      </c>
      <c r="L39" s="103">
        <f t="shared" si="1"/>
        <v>0</v>
      </c>
      <c r="M39" s="103">
        <f t="shared" si="2"/>
        <v>0</v>
      </c>
      <c r="N39" s="37">
        <f t="shared" si="3"/>
        <v>0</v>
      </c>
      <c r="O39" s="37">
        <f t="shared" si="4"/>
        <v>0</v>
      </c>
      <c r="P39" s="37">
        <f t="shared" si="5"/>
        <v>0</v>
      </c>
      <c r="Q39" s="37">
        <f t="shared" si="6"/>
        <v>0</v>
      </c>
      <c r="R39" s="37">
        <f t="shared" si="7"/>
        <v>0</v>
      </c>
      <c r="S39" s="37">
        <f t="shared" si="8"/>
        <v>0</v>
      </c>
      <c r="T39" s="37"/>
    </row>
    <row r="40" spans="1:20" ht="15.5" x14ac:dyDescent="0.35">
      <c r="A40" s="31" t="s">
        <v>97</v>
      </c>
      <c r="B40" s="37">
        <f t="shared" ref="B40:G40" si="15">B36*B36</f>
        <v>0.80385219123581209</v>
      </c>
      <c r="C40" s="37">
        <f t="shared" si="15"/>
        <v>0.13802502908883996</v>
      </c>
      <c r="D40" s="37">
        <f t="shared" si="15"/>
        <v>0.12598330548356781</v>
      </c>
      <c r="E40" s="37">
        <f t="shared" si="15"/>
        <v>0.52175233374846863</v>
      </c>
      <c r="F40" s="37">
        <f t="shared" si="15"/>
        <v>1.512675436695146</v>
      </c>
      <c r="G40" s="37">
        <f t="shared" si="15"/>
        <v>1.5099788218233103</v>
      </c>
      <c r="H40" s="37">
        <v>0</v>
      </c>
      <c r="I40" s="103">
        <v>-1.6509920000000001E-2</v>
      </c>
      <c r="J40" s="103">
        <v>2.63094995E-2</v>
      </c>
      <c r="K40" s="103">
        <f t="shared" si="0"/>
        <v>0</v>
      </c>
      <c r="L40" s="103">
        <f t="shared" si="1"/>
        <v>-1.6509920000000001E-2</v>
      </c>
      <c r="M40" s="103">
        <f t="shared" si="2"/>
        <v>2.63094995E-2</v>
      </c>
      <c r="N40" s="37">
        <f t="shared" si="3"/>
        <v>0</v>
      </c>
      <c r="O40" s="37">
        <f t="shared" si="4"/>
        <v>-2.2787821882544208E-3</v>
      </c>
      <c r="P40" s="37">
        <f t="shared" si="5"/>
        <v>3.3145577126282746E-3</v>
      </c>
      <c r="Q40" s="37">
        <f t="shared" si="6"/>
        <v>0</v>
      </c>
      <c r="R40" s="37">
        <f t="shared" si="7"/>
        <v>-2.4974150445801927E-2</v>
      </c>
      <c r="S40" s="37">
        <f t="shared" si="8"/>
        <v>3.9726787057770975E-2</v>
      </c>
      <c r="T40" s="37"/>
    </row>
    <row r="41" spans="1:20" ht="15.5" x14ac:dyDescent="0.35">
      <c r="A41" s="31" t="s">
        <v>84</v>
      </c>
      <c r="B41" s="37">
        <f t="shared" ref="B41:G42" si="16">B32*B34</f>
        <v>-2.8539143070487341E-2</v>
      </c>
      <c r="C41" s="37">
        <f t="shared" si="16"/>
        <v>-0.15042938215620508</v>
      </c>
      <c r="D41" s="37">
        <f t="shared" si="16"/>
        <v>-0.11962375326034108</v>
      </c>
      <c r="E41" s="37">
        <f t="shared" si="16"/>
        <v>46.510204408490686</v>
      </c>
      <c r="F41" s="37">
        <f t="shared" si="16"/>
        <v>47.037117971944575</v>
      </c>
      <c r="G41" s="37">
        <f t="shared" si="16"/>
        <v>50.590760856677619</v>
      </c>
      <c r="H41" s="37">
        <v>0</v>
      </c>
      <c r="I41" s="103">
        <v>9.884126E-3</v>
      </c>
      <c r="J41" s="103">
        <v>9.7974641999999997E-3</v>
      </c>
      <c r="K41" s="103">
        <f t="shared" si="0"/>
        <v>0</v>
      </c>
      <c r="L41" s="103">
        <f t="shared" si="1"/>
        <v>9.884126E-3</v>
      </c>
      <c r="M41" s="103">
        <f t="shared" si="2"/>
        <v>9.7974641999999997E-3</v>
      </c>
      <c r="N41" s="37">
        <f t="shared" si="3"/>
        <v>0</v>
      </c>
      <c r="O41" s="37">
        <f t="shared" si="4"/>
        <v>-1.4868629673340827E-3</v>
      </c>
      <c r="P41" s="37">
        <f t="shared" si="5"/>
        <v>-1.1720094400378251E-3</v>
      </c>
      <c r="Q41" s="37">
        <f t="shared" si="6"/>
        <v>0</v>
      </c>
      <c r="R41" s="37">
        <f t="shared" si="7"/>
        <v>0.46492080071156466</v>
      </c>
      <c r="S41" s="37">
        <f t="shared" si="8"/>
        <v>0.49566116834406027</v>
      </c>
      <c r="T41" s="37"/>
    </row>
    <row r="42" spans="1:20" ht="15.5" x14ac:dyDescent="0.35">
      <c r="A42" s="31" t="s">
        <v>103</v>
      </c>
      <c r="B42" s="37">
        <f t="shared" si="16"/>
        <v>7.7305386594089115E-2</v>
      </c>
      <c r="C42" s="37">
        <f t="shared" si="16"/>
        <v>3.3152868248944423E-2</v>
      </c>
      <c r="D42" s="37">
        <f t="shared" si="16"/>
        <v>1.3784259193782114E-2</v>
      </c>
      <c r="E42" s="37">
        <f t="shared" si="16"/>
        <v>18.339734626073202</v>
      </c>
      <c r="F42" s="37">
        <f t="shared" si="16"/>
        <v>20.71588780991096</v>
      </c>
      <c r="G42" s="37">
        <f t="shared" si="16"/>
        <v>19.075290941877398</v>
      </c>
      <c r="H42" s="37">
        <v>0</v>
      </c>
      <c r="I42" s="103">
        <v>-7.3601090000000001E-3</v>
      </c>
      <c r="J42" s="37">
        <v>0</v>
      </c>
      <c r="K42" s="103">
        <f t="shared" si="0"/>
        <v>0</v>
      </c>
      <c r="L42" s="103">
        <f t="shared" si="1"/>
        <v>-7.3601090000000001E-3</v>
      </c>
      <c r="M42" s="103">
        <f t="shared" si="2"/>
        <v>0</v>
      </c>
      <c r="N42" s="37">
        <f t="shared" si="3"/>
        <v>0</v>
      </c>
      <c r="O42" s="37">
        <f t="shared" si="4"/>
        <v>-2.4400872397487008E-4</v>
      </c>
      <c r="P42" s="37">
        <f t="shared" si="5"/>
        <v>0</v>
      </c>
      <c r="Q42" s="37">
        <f t="shared" si="6"/>
        <v>0</v>
      </c>
      <c r="R42" s="37">
        <f t="shared" si="7"/>
        <v>-0.15247119231271594</v>
      </c>
      <c r="S42" s="37">
        <f t="shared" si="8"/>
        <v>0</v>
      </c>
      <c r="T42" s="37"/>
    </row>
    <row r="43" spans="1:20" ht="15.5" x14ac:dyDescent="0.35">
      <c r="A43" s="31" t="s">
        <v>88</v>
      </c>
      <c r="B43" s="37">
        <f t="shared" ref="B43:G43" si="17">B33*B33</f>
        <v>9.3704478949642664E-2</v>
      </c>
      <c r="C43" s="37">
        <f t="shared" si="17"/>
        <v>8.0949245859110383E-2</v>
      </c>
      <c r="D43" s="37">
        <f t="shared" si="17"/>
        <v>5.8818058688455251E-2</v>
      </c>
      <c r="E43" s="37">
        <f t="shared" si="17"/>
        <v>179.99204944555669</v>
      </c>
      <c r="F43" s="37">
        <f t="shared" si="17"/>
        <v>222.44588995401739</v>
      </c>
      <c r="G43" s="37">
        <f t="shared" si="17"/>
        <v>182.84735059676072</v>
      </c>
      <c r="H43" s="37">
        <v>0</v>
      </c>
      <c r="I43" s="103">
        <v>7.7669999999999996E-3</v>
      </c>
      <c r="J43" s="37">
        <v>0</v>
      </c>
      <c r="K43" s="103">
        <f t="shared" si="0"/>
        <v>0</v>
      </c>
      <c r="L43" s="103">
        <f t="shared" si="1"/>
        <v>7.7669999999999996E-3</v>
      </c>
      <c r="M43" s="103">
        <f t="shared" si="2"/>
        <v>0</v>
      </c>
      <c r="N43" s="37">
        <f t="shared" si="3"/>
        <v>0</v>
      </c>
      <c r="O43" s="37">
        <f t="shared" si="4"/>
        <v>6.2873279258771032E-4</v>
      </c>
      <c r="P43" s="37">
        <f t="shared" si="5"/>
        <v>0</v>
      </c>
      <c r="Q43" s="37">
        <f t="shared" si="6"/>
        <v>0</v>
      </c>
      <c r="R43" s="37">
        <f t="shared" si="7"/>
        <v>1.7277372272728531</v>
      </c>
      <c r="S43" s="37">
        <f t="shared" si="8"/>
        <v>0</v>
      </c>
      <c r="T43" s="37"/>
    </row>
    <row r="44" spans="1:20" ht="15.5" x14ac:dyDescent="0.35">
      <c r="A44" s="31" t="s">
        <v>87</v>
      </c>
      <c r="B44" s="37">
        <f t="shared" ref="B44:G44" si="18">B32*B36</f>
        <v>4.2615331271633056E-2</v>
      </c>
      <c r="C44" s="37">
        <f t="shared" si="18"/>
        <v>0.1659590350007564</v>
      </c>
      <c r="D44" s="37">
        <f t="shared" si="18"/>
        <v>0.14938896538266719</v>
      </c>
      <c r="E44" s="37">
        <f t="shared" si="18"/>
        <v>9.654038484834544</v>
      </c>
      <c r="F44" s="37">
        <f t="shared" si="18"/>
        <v>14.57200857813303</v>
      </c>
      <c r="G44" s="37">
        <f t="shared" si="18"/>
        <v>15.267129060655105</v>
      </c>
      <c r="H44" s="37">
        <v>0</v>
      </c>
      <c r="I44" s="37">
        <v>0</v>
      </c>
      <c r="J44" s="103">
        <v>2.17627102E-2</v>
      </c>
      <c r="K44" s="103">
        <f t="shared" si="0"/>
        <v>0</v>
      </c>
      <c r="L44" s="103">
        <f t="shared" si="1"/>
        <v>0</v>
      </c>
      <c r="M44" s="103">
        <f t="shared" si="2"/>
        <v>2.17627102E-2</v>
      </c>
      <c r="N44" s="37">
        <f t="shared" si="3"/>
        <v>0</v>
      </c>
      <c r="O44" s="37">
        <f t="shared" si="4"/>
        <v>0</v>
      </c>
      <c r="P44" s="37">
        <f t="shared" si="5"/>
        <v>3.2511087607008183E-3</v>
      </c>
      <c r="Q44" s="37">
        <f t="shared" si="6"/>
        <v>0</v>
      </c>
      <c r="R44" s="37">
        <f t="shared" si="7"/>
        <v>0</v>
      </c>
      <c r="S44" s="37">
        <f t="shared" si="8"/>
        <v>0.33225410533303529</v>
      </c>
      <c r="T44" s="37"/>
    </row>
    <row r="45" spans="1:20" ht="15.5" x14ac:dyDescent="0.35">
      <c r="A45" s="31" t="s">
        <v>95</v>
      </c>
      <c r="B45" s="37">
        <f t="shared" ref="B45:G45" si="19">B34*B37</f>
        <v>0.56703026959206249</v>
      </c>
      <c r="C45" s="37">
        <f t="shared" si="19"/>
        <v>0.33018028815310718</v>
      </c>
      <c r="D45" s="37">
        <f t="shared" si="19"/>
        <v>0.2513769598941622</v>
      </c>
      <c r="E45" s="37">
        <f t="shared" si="19"/>
        <v>3.8354947744266896</v>
      </c>
      <c r="F45" s="37">
        <f t="shared" si="19"/>
        <v>4.4730084491087991</v>
      </c>
      <c r="G45" s="37">
        <f t="shared" si="19"/>
        <v>4.1793202197358754</v>
      </c>
      <c r="H45" s="103">
        <v>0</v>
      </c>
      <c r="I45" s="37">
        <v>0</v>
      </c>
      <c r="J45" s="37">
        <v>0</v>
      </c>
      <c r="K45" s="103">
        <f t="shared" si="0"/>
        <v>0</v>
      </c>
      <c r="L45" s="103">
        <f t="shared" si="1"/>
        <v>0</v>
      </c>
      <c r="M45" s="103">
        <f t="shared" si="2"/>
        <v>0</v>
      </c>
      <c r="N45" s="37">
        <f t="shared" si="3"/>
        <v>0</v>
      </c>
      <c r="O45" s="37">
        <f t="shared" si="4"/>
        <v>0</v>
      </c>
      <c r="P45" s="37">
        <f t="shared" si="5"/>
        <v>0</v>
      </c>
      <c r="Q45" s="37">
        <f t="shared" si="6"/>
        <v>0</v>
      </c>
      <c r="R45" s="37">
        <f t="shared" si="7"/>
        <v>0</v>
      </c>
      <c r="S45" s="37">
        <f t="shared" si="8"/>
        <v>0</v>
      </c>
      <c r="T45" s="37"/>
    </row>
    <row r="46" spans="1:20" ht="15.5" x14ac:dyDescent="0.35">
      <c r="A46" s="3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>
        <f t="shared" ref="N46:S46" si="20">SUM(N30:N45)</f>
        <v>1.4918068486603664</v>
      </c>
      <c r="O46" s="37">
        <f t="shared" si="20"/>
        <v>1.0780751579117129</v>
      </c>
      <c r="P46" s="37">
        <f t="shared" si="20"/>
        <v>-0.3586859943765433</v>
      </c>
      <c r="Q46" s="37">
        <f t="shared" si="20"/>
        <v>4.6818774253784161</v>
      </c>
      <c r="R46" s="37">
        <f t="shared" si="20"/>
        <v>2.9234323923033276</v>
      </c>
      <c r="S46" s="37">
        <f t="shared" si="20"/>
        <v>1.9909325141205236</v>
      </c>
      <c r="T46" s="37"/>
    </row>
    <row r="47" spans="1:20" ht="15.5" x14ac:dyDescent="0.35">
      <c r="A47" s="3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76">
        <f>((EXP(Q46)/EXP(N46))-1)*100</f>
        <v>2329.0141701082712</v>
      </c>
      <c r="R47" s="76">
        <f>((EXP(R46)/EXP(O46))-1)*100</f>
        <v>533.0360809113547</v>
      </c>
      <c r="S47" s="76">
        <f>((EXP(S46)/EXP(P46))-1)*100</f>
        <v>948.15703318898773</v>
      </c>
      <c r="T47" s="76">
        <f>SUM(Q49:S49)</f>
        <v>916.26068433986757</v>
      </c>
    </row>
    <row r="48" spans="1:20" ht="16" thickBot="1" x14ac:dyDescent="0.4">
      <c r="A48" s="3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6.3352868666335077E-2</v>
      </c>
      <c r="R48" s="37">
        <v>0.28757307728350745</v>
      </c>
      <c r="S48" s="37">
        <v>0.6490740540501575</v>
      </c>
      <c r="T48" s="37"/>
    </row>
    <row r="49" spans="1:22" ht="16" thickBot="1" x14ac:dyDescent="0.4">
      <c r="A49" s="3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76">
        <f>Q48*Q47</f>
        <v>147.54972884090267</v>
      </c>
      <c r="R49" s="76">
        <f>R48*R47</f>
        <v>153.28682609081895</v>
      </c>
      <c r="S49" s="76">
        <f>S48*S47</f>
        <v>615.42412940814597</v>
      </c>
      <c r="T49" s="76">
        <f>SUM(Q49:S49)</f>
        <v>916.26068433986757</v>
      </c>
      <c r="U49" s="37">
        <f>0.06/4.01</f>
        <v>1.4962593516209476E-2</v>
      </c>
      <c r="V49" s="104">
        <f>T49*U49</f>
        <v>13.709636174661359</v>
      </c>
    </row>
    <row r="50" spans="1:22" ht="15.5" x14ac:dyDescent="0.35">
      <c r="A50" s="30" t="s">
        <v>114</v>
      </c>
      <c r="B50" s="31"/>
      <c r="C50" s="31"/>
      <c r="T50" s="50" t="s">
        <v>217</v>
      </c>
      <c r="U50" s="50" t="s">
        <v>218</v>
      </c>
      <c r="V50" s="50" t="s">
        <v>219</v>
      </c>
    </row>
    <row r="52" spans="1:22" ht="15.5" x14ac:dyDescent="0.35">
      <c r="A52" s="31" t="s">
        <v>0</v>
      </c>
      <c r="B52" s="31" t="s">
        <v>53</v>
      </c>
      <c r="C52" s="31" t="s">
        <v>54</v>
      </c>
      <c r="E52" s="99"/>
      <c r="F52" s="32"/>
      <c r="G52" s="99"/>
    </row>
    <row r="53" spans="1:22" ht="15.5" x14ac:dyDescent="0.35">
      <c r="A53" s="31" t="s">
        <v>3</v>
      </c>
      <c r="B53" s="76">
        <f>A!B174</f>
        <v>7</v>
      </c>
      <c r="C53" s="76">
        <f>A!C174</f>
        <v>7</v>
      </c>
      <c r="E53" s="99"/>
      <c r="F53" s="100"/>
      <c r="G53" s="99"/>
    </row>
    <row r="54" spans="1:22" ht="15.5" x14ac:dyDescent="0.35">
      <c r="A54" s="31" t="s">
        <v>5</v>
      </c>
      <c r="B54" s="77">
        <f>A!B175</f>
        <v>213</v>
      </c>
      <c r="C54" s="77">
        <f>A!C175</f>
        <v>0</v>
      </c>
      <c r="E54" s="99"/>
      <c r="F54" s="101"/>
      <c r="G54" s="99"/>
    </row>
    <row r="55" spans="1:22" ht="15.5" x14ac:dyDescent="0.35">
      <c r="A55" s="31" t="s">
        <v>7</v>
      </c>
      <c r="B55" s="77">
        <f>A!B176</f>
        <v>305</v>
      </c>
      <c r="C55" s="77">
        <f>A!C176</f>
        <v>0</v>
      </c>
      <c r="E55" s="99"/>
      <c r="F55" s="102"/>
      <c r="G55" s="99"/>
    </row>
    <row r="56" spans="1:22" ht="15.5" x14ac:dyDescent="0.35">
      <c r="A56" s="31" t="s">
        <v>8</v>
      </c>
      <c r="B56" s="70">
        <f>A!B177</f>
        <v>25</v>
      </c>
      <c r="C56" s="70">
        <f>A!C177</f>
        <v>0</v>
      </c>
      <c r="E56" s="99"/>
      <c r="F56" s="99"/>
      <c r="G56" s="99"/>
    </row>
    <row r="57" spans="1:22" ht="15.5" x14ac:dyDescent="0.35">
      <c r="A57" s="31" t="s">
        <v>10</v>
      </c>
      <c r="B57" s="70">
        <f>A!B178</f>
        <v>6</v>
      </c>
      <c r="C57" s="70">
        <f>A!C178</f>
        <v>0</v>
      </c>
    </row>
    <row r="58" spans="1:22" ht="15.5" x14ac:dyDescent="0.35">
      <c r="A58" s="31" t="s">
        <v>36</v>
      </c>
      <c r="B58" s="70">
        <f>A!B179</f>
        <v>2</v>
      </c>
      <c r="C58" s="70">
        <f>A!C179</f>
        <v>0</v>
      </c>
    </row>
    <row r="59" spans="1:22" ht="15.5" x14ac:dyDescent="0.35">
      <c r="A59" s="31" t="s">
        <v>16</v>
      </c>
      <c r="B59" s="77">
        <f>A!B180</f>
        <v>20</v>
      </c>
      <c r="C59" s="77">
        <f>A!C180</f>
        <v>0</v>
      </c>
    </row>
    <row r="62" spans="1:22" ht="15.5" x14ac:dyDescent="0.35">
      <c r="A62" s="31" t="s">
        <v>72</v>
      </c>
      <c r="B62" s="31"/>
      <c r="C62" s="31"/>
      <c r="D62" s="46"/>
      <c r="E62" s="31"/>
      <c r="F62" s="31"/>
      <c r="G62" s="31"/>
      <c r="H62" s="31"/>
      <c r="I62" s="31"/>
    </row>
    <row r="63" spans="1:22" ht="15.5" x14ac:dyDescent="0.35">
      <c r="A63" s="31"/>
      <c r="B63" s="31" t="s">
        <v>58</v>
      </c>
      <c r="C63" s="31" t="s">
        <v>58</v>
      </c>
      <c r="D63" s="46"/>
      <c r="E63" s="31" t="s">
        <v>59</v>
      </c>
      <c r="F63" s="31" t="s">
        <v>59</v>
      </c>
      <c r="G63" s="31"/>
      <c r="H63" s="31" t="s">
        <v>60</v>
      </c>
      <c r="I63" s="31" t="s">
        <v>60</v>
      </c>
    </row>
    <row r="64" spans="1:22" ht="15.5" x14ac:dyDescent="0.35">
      <c r="A64" s="31" t="s">
        <v>0</v>
      </c>
      <c r="B64" s="31" t="s">
        <v>73</v>
      </c>
      <c r="C64" s="31" t="s">
        <v>74</v>
      </c>
      <c r="D64" s="46"/>
      <c r="E64" s="31" t="s">
        <v>73</v>
      </c>
      <c r="F64" s="31" t="s">
        <v>74</v>
      </c>
      <c r="G64" s="31"/>
      <c r="H64" s="31" t="s">
        <v>73</v>
      </c>
      <c r="I64" s="31" t="s">
        <v>74</v>
      </c>
    </row>
    <row r="65" spans="1:20" ht="15.5" x14ac:dyDescent="0.35">
      <c r="A65" s="31" t="s">
        <v>3</v>
      </c>
      <c r="B65" s="37">
        <v>8.6708920000000003</v>
      </c>
      <c r="C65" s="37">
        <v>0.63506600000000002</v>
      </c>
      <c r="D65" s="37"/>
      <c r="E65" s="37">
        <v>8.3654150000000005</v>
      </c>
      <c r="F65" s="37">
        <v>0.88911399999999996</v>
      </c>
      <c r="G65" s="37"/>
      <c r="H65" s="37">
        <v>8.2217000000000002</v>
      </c>
      <c r="I65" s="37">
        <v>0.90283800000000003</v>
      </c>
      <c r="K65" s="31" t="s">
        <v>220</v>
      </c>
      <c r="L65" s="31"/>
      <c r="M65" s="31"/>
      <c r="O65" s="31" t="s">
        <v>226</v>
      </c>
    </row>
    <row r="66" spans="1:20" ht="15.5" x14ac:dyDescent="0.35">
      <c r="A66" s="31" t="s">
        <v>5</v>
      </c>
      <c r="B66" s="37">
        <v>212.24518800000001</v>
      </c>
      <c r="C66" s="37">
        <v>15.880385</v>
      </c>
      <c r="D66" s="37"/>
      <c r="E66" s="37">
        <v>205.26105100000001</v>
      </c>
      <c r="F66" s="37">
        <v>17.324472</v>
      </c>
      <c r="G66" s="37"/>
      <c r="H66" s="37">
        <v>206.02087</v>
      </c>
      <c r="I66" s="37">
        <v>16.582090000000001</v>
      </c>
      <c r="K66" s="31"/>
      <c r="L66" s="31" t="s">
        <v>75</v>
      </c>
      <c r="M66" s="31" t="s">
        <v>205</v>
      </c>
      <c r="O66" s="31"/>
      <c r="P66" s="31" t="s">
        <v>75</v>
      </c>
      <c r="Q66" s="31" t="s">
        <v>205</v>
      </c>
    </row>
    <row r="67" spans="1:20" ht="15.5" x14ac:dyDescent="0.35">
      <c r="A67" s="31" t="s">
        <v>7</v>
      </c>
      <c r="B67" s="37">
        <v>312.12159600000001</v>
      </c>
      <c r="C67" s="37">
        <v>23.264683999999999</v>
      </c>
      <c r="D67" s="37"/>
      <c r="E67" s="37">
        <v>310.931422</v>
      </c>
      <c r="F67" s="37">
        <v>20.847425000000001</v>
      </c>
      <c r="G67" s="37"/>
      <c r="H67" s="37">
        <v>310.5702</v>
      </c>
      <c r="I67" s="37">
        <v>22.967590999999999</v>
      </c>
      <c r="K67" s="31" t="s">
        <v>7</v>
      </c>
      <c r="L67" s="77">
        <f>ROUND((308.3+2.5*C57),0)</f>
        <v>308</v>
      </c>
      <c r="M67" s="77">
        <f>IF(C55&gt;L67,L67,C55)</f>
        <v>0</v>
      </c>
    </row>
    <row r="68" spans="1:20" ht="15.5" x14ac:dyDescent="0.35">
      <c r="A68" s="31" t="s">
        <v>8</v>
      </c>
      <c r="B68" s="37">
        <v>30.212969000000001</v>
      </c>
      <c r="C68" s="37">
        <v>8.6820439999999994</v>
      </c>
      <c r="D68" s="37"/>
      <c r="E68" s="37">
        <v>27.317136999999999</v>
      </c>
      <c r="F68" s="37">
        <v>6.880833</v>
      </c>
      <c r="G68" s="37"/>
      <c r="H68" s="37">
        <v>26.875944</v>
      </c>
      <c r="I68" s="37">
        <v>6.6003119999999997</v>
      </c>
    </row>
    <row r="69" spans="1:20" ht="15.5" x14ac:dyDescent="0.35">
      <c r="A69" s="31" t="s">
        <v>10</v>
      </c>
      <c r="B69" s="37">
        <v>7.3596240000000002</v>
      </c>
      <c r="C69" s="37">
        <v>5.3838039999999996</v>
      </c>
      <c r="D69" s="37"/>
      <c r="E69" s="37">
        <v>6.5494500000000002</v>
      </c>
      <c r="F69" s="37">
        <v>4.7153450000000001</v>
      </c>
      <c r="G69" s="37"/>
      <c r="H69" s="37">
        <v>6.2518909999999996</v>
      </c>
      <c r="I69" s="37">
        <v>4.431845</v>
      </c>
    </row>
    <row r="70" spans="1:20" ht="15.5" x14ac:dyDescent="0.35">
      <c r="A70" s="31" t="s">
        <v>36</v>
      </c>
      <c r="B70" s="37">
        <v>0.89236300000000002</v>
      </c>
      <c r="C70" s="37">
        <v>1.2354050000000001</v>
      </c>
      <c r="D70" s="37"/>
      <c r="E70" s="37">
        <v>1.536017</v>
      </c>
      <c r="F70" s="37">
        <v>1.2488870000000001</v>
      </c>
      <c r="G70" s="37"/>
      <c r="H70" s="37">
        <v>1.5517719999999999</v>
      </c>
      <c r="I70" s="37">
        <v>1.262823</v>
      </c>
      <c r="O70" s="31" t="s">
        <v>225</v>
      </c>
      <c r="P70" s="31">
        <f>ROUND((10.152-0.0315*C54),1)</f>
        <v>10.199999999999999</v>
      </c>
      <c r="Q70" s="31">
        <f>IF(C58&gt;P70,P70,C58)</f>
        <v>0</v>
      </c>
    </row>
    <row r="71" spans="1:20" ht="15.5" x14ac:dyDescent="0.35">
      <c r="A71" s="31" t="s">
        <v>16</v>
      </c>
      <c r="B71" s="37">
        <v>139.69108</v>
      </c>
      <c r="C71" s="37">
        <v>126.74145900000001</v>
      </c>
      <c r="D71" s="37"/>
      <c r="E71" s="37">
        <v>154.12082799999999</v>
      </c>
      <c r="F71" s="37">
        <v>136.79044999999999</v>
      </c>
      <c r="G71" s="37"/>
      <c r="H71" s="37">
        <v>144.62890100000001</v>
      </c>
      <c r="I71" s="37">
        <v>140.91223400000001</v>
      </c>
    </row>
    <row r="74" spans="1:20" ht="15.5" x14ac:dyDescent="0.35">
      <c r="A74" s="31" t="s">
        <v>77</v>
      </c>
      <c r="B74" s="31"/>
      <c r="C74" s="31"/>
      <c r="D74" s="46"/>
      <c r="E74" s="31"/>
      <c r="F74" s="31"/>
      <c r="G74" s="31"/>
      <c r="H74" s="31" t="s">
        <v>189</v>
      </c>
      <c r="I74" s="31"/>
      <c r="J74" s="31"/>
      <c r="K74" s="31" t="s">
        <v>190</v>
      </c>
      <c r="L74" s="31"/>
      <c r="M74" s="31"/>
      <c r="N74" s="31" t="s">
        <v>189</v>
      </c>
      <c r="O74" s="31"/>
      <c r="P74" s="31"/>
      <c r="Q74" s="31" t="s">
        <v>190</v>
      </c>
      <c r="R74" s="31"/>
      <c r="S74" s="31"/>
      <c r="T74" s="31"/>
    </row>
    <row r="75" spans="1:20" ht="15.5" x14ac:dyDescent="0.35">
      <c r="A75" s="31"/>
      <c r="B75" s="31" t="s">
        <v>53</v>
      </c>
      <c r="C75" s="31" t="s">
        <v>53</v>
      </c>
      <c r="D75" s="46" t="s">
        <v>53</v>
      </c>
      <c r="E75" s="31" t="s">
        <v>54</v>
      </c>
      <c r="F75" s="31" t="s">
        <v>54</v>
      </c>
      <c r="G75" s="31" t="s">
        <v>54</v>
      </c>
      <c r="H75" s="31" t="s">
        <v>187</v>
      </c>
      <c r="I75" s="31"/>
      <c r="J75" s="31"/>
      <c r="K75" s="31" t="s">
        <v>187</v>
      </c>
      <c r="L75" s="31"/>
      <c r="M75" s="31"/>
      <c r="N75" s="31" t="s">
        <v>188</v>
      </c>
      <c r="O75" s="31"/>
      <c r="P75" s="31"/>
      <c r="Q75" s="31" t="s">
        <v>188</v>
      </c>
      <c r="R75" s="31"/>
      <c r="S75" s="31"/>
      <c r="T75" s="31"/>
    </row>
    <row r="76" spans="1:20" ht="15.5" x14ac:dyDescent="0.35">
      <c r="A76" s="31" t="s">
        <v>0</v>
      </c>
      <c r="B76" s="31" t="s">
        <v>58</v>
      </c>
      <c r="C76" s="31" t="s">
        <v>59</v>
      </c>
      <c r="D76" s="31" t="s">
        <v>79</v>
      </c>
      <c r="E76" s="31" t="s">
        <v>58</v>
      </c>
      <c r="F76" s="31" t="s">
        <v>199</v>
      </c>
      <c r="G76" s="31" t="s">
        <v>79</v>
      </c>
      <c r="H76" s="31" t="s">
        <v>159</v>
      </c>
      <c r="I76" s="31" t="s">
        <v>160</v>
      </c>
      <c r="J76" s="31" t="s">
        <v>161</v>
      </c>
      <c r="K76" s="31" t="s">
        <v>159</v>
      </c>
      <c r="L76" s="31" t="s">
        <v>160</v>
      </c>
      <c r="M76" s="31" t="s">
        <v>161</v>
      </c>
      <c r="N76" s="31" t="s">
        <v>159</v>
      </c>
      <c r="O76" s="31" t="s">
        <v>160</v>
      </c>
      <c r="P76" s="31" t="s">
        <v>161</v>
      </c>
      <c r="Q76" s="31" t="s">
        <v>159</v>
      </c>
      <c r="R76" s="31" t="s">
        <v>160</v>
      </c>
      <c r="S76" s="31" t="s">
        <v>161</v>
      </c>
      <c r="T76" s="31"/>
    </row>
    <row r="77" spans="1:20" ht="15.5" x14ac:dyDescent="0.35">
      <c r="A77" s="31" t="s">
        <v>191</v>
      </c>
      <c r="B77" s="37">
        <v>1</v>
      </c>
      <c r="C77" s="37">
        <v>1</v>
      </c>
      <c r="D77" s="37">
        <v>1</v>
      </c>
      <c r="E77" s="37">
        <v>1</v>
      </c>
      <c r="F77" s="37">
        <v>1</v>
      </c>
      <c r="G77" s="37">
        <v>1</v>
      </c>
      <c r="H77" s="103">
        <v>1.6156133159999999</v>
      </c>
      <c r="I77" s="103">
        <v>1.1952459150000001</v>
      </c>
      <c r="J77" s="103">
        <v>-0.2405211434</v>
      </c>
      <c r="K77" s="103">
        <v>1.6156133159999999</v>
      </c>
      <c r="L77" s="103">
        <v>1.1952459150000001</v>
      </c>
      <c r="M77" s="103">
        <v>-0.2405211434</v>
      </c>
      <c r="N77" s="37">
        <f t="shared" ref="N77:N92" si="21">B77*H77</f>
        <v>1.6156133159999999</v>
      </c>
      <c r="O77" s="37">
        <f t="shared" ref="O77:O92" si="22">C77*I77</f>
        <v>1.1952459150000001</v>
      </c>
      <c r="P77" s="37">
        <f t="shared" ref="P77:P92" si="23">D77*J77</f>
        <v>-0.2405211434</v>
      </c>
      <c r="Q77" s="37">
        <f t="shared" ref="Q77:Q92" si="24">E77*K77</f>
        <v>1.6156133159999999</v>
      </c>
      <c r="R77" s="37">
        <f t="shared" ref="R77:R92" si="25">F77*L77</f>
        <v>1.1952459150000001</v>
      </c>
      <c r="S77" s="37">
        <f t="shared" ref="S77:S92" si="26">G77*M77</f>
        <v>-0.2405211434</v>
      </c>
      <c r="T77" s="37"/>
    </row>
    <row r="78" spans="1:20" ht="15.5" x14ac:dyDescent="0.35">
      <c r="A78" s="31" t="s">
        <v>192</v>
      </c>
      <c r="B78" s="37">
        <f t="shared" ref="B78:B84" si="27">(B53-B65)/C65</f>
        <v>-2.6310525205254263</v>
      </c>
      <c r="C78" s="37">
        <f t="shared" ref="C78:C84" si="28">(B53-E65)/F65</f>
        <v>-1.5357029582258299</v>
      </c>
      <c r="D78" s="37">
        <f t="shared" ref="D78:D84" si="29">(B53-H65)/I65</f>
        <v>-1.3531774249643902</v>
      </c>
      <c r="E78" s="37">
        <f t="shared" ref="E78:E84" si="30">(C53-B65)/C65</f>
        <v>-2.6310525205254263</v>
      </c>
      <c r="F78" s="37">
        <f>(C53-E65)/F65</f>
        <v>-1.5357029582258299</v>
      </c>
      <c r="G78" s="37">
        <f>(C53-H65)/I65</f>
        <v>-1.3531774249643902</v>
      </c>
      <c r="H78" s="103">
        <v>-4.5939249999999996E-3</v>
      </c>
      <c r="I78" s="103">
        <v>1.6850751000000001E-2</v>
      </c>
      <c r="J78" s="103">
        <v>1.0447374400000001E-2</v>
      </c>
      <c r="K78" s="103">
        <v>-4.5939249999999996E-3</v>
      </c>
      <c r="L78" s="103">
        <v>1.6850751000000001E-2</v>
      </c>
      <c r="M78" s="103">
        <v>1.0447374400000001E-2</v>
      </c>
      <c r="N78" s="37">
        <f t="shared" si="21"/>
        <v>1.2086857950354768E-2</v>
      </c>
      <c r="O78" s="37">
        <f t="shared" si="22"/>
        <v>-2.5877748159026864E-2</v>
      </c>
      <c r="P78" s="37">
        <f t="shared" si="23"/>
        <v>-1.4137151188230892E-2</v>
      </c>
      <c r="Q78" s="37">
        <f t="shared" si="24"/>
        <v>1.2086857950354768E-2</v>
      </c>
      <c r="R78" s="37">
        <f t="shared" si="25"/>
        <v>-2.5877748159026864E-2</v>
      </c>
      <c r="S78" s="37">
        <f t="shared" si="26"/>
        <v>-1.4137151188230892E-2</v>
      </c>
      <c r="T78" s="37"/>
    </row>
    <row r="79" spans="1:20" ht="15.5" x14ac:dyDescent="0.35">
      <c r="A79" s="31" t="s">
        <v>193</v>
      </c>
      <c r="B79" s="37">
        <f t="shared" si="27"/>
        <v>4.753108945406468E-2</v>
      </c>
      <c r="C79" s="37">
        <f t="shared" si="28"/>
        <v>0.44670619687572533</v>
      </c>
      <c r="D79" s="37">
        <f t="shared" si="29"/>
        <v>0.42088361599774199</v>
      </c>
      <c r="E79" s="37">
        <f t="shared" si="30"/>
        <v>-13.365241963592194</v>
      </c>
      <c r="F79" s="37">
        <f>(C54-E66)/F66</f>
        <v>-11.848040794547735</v>
      </c>
      <c r="G79" s="37">
        <f>(C54-H66)/I66</f>
        <v>-12.424300555599444</v>
      </c>
      <c r="H79" s="103">
        <v>9.8965140000000004E-3</v>
      </c>
      <c r="I79" s="103">
        <v>2.2750201000000001E-2</v>
      </c>
      <c r="J79" s="103">
        <v>1.81947194E-2</v>
      </c>
      <c r="K79" s="103">
        <v>9.8965140000000004E-3</v>
      </c>
      <c r="L79" s="103">
        <v>2.2750201000000001E-2</v>
      </c>
      <c r="M79" s="103">
        <v>1.81947194E-2</v>
      </c>
      <c r="N79" s="37">
        <f t="shared" si="21"/>
        <v>4.703920922174035E-4</v>
      </c>
      <c r="O79" s="37">
        <f t="shared" si="22"/>
        <v>1.0162655766868324E-2</v>
      </c>
      <c r="P79" s="37">
        <f t="shared" si="23"/>
        <v>7.6578592931362665E-3</v>
      </c>
      <c r="Q79" s="37">
        <f t="shared" si="24"/>
        <v>-0.13226930420607763</v>
      </c>
      <c r="R79" s="37">
        <f t="shared" si="25"/>
        <v>-0.26954530953216072</v>
      </c>
      <c r="S79" s="37">
        <f t="shared" si="26"/>
        <v>-0.22605666235039598</v>
      </c>
      <c r="T79" s="37"/>
    </row>
    <row r="80" spans="1:20" ht="15.5" x14ac:dyDescent="0.35">
      <c r="A80" s="31" t="s">
        <v>194</v>
      </c>
      <c r="B80" s="37">
        <f t="shared" si="27"/>
        <v>-0.30611187325819733</v>
      </c>
      <c r="C80" s="37">
        <f t="shared" si="28"/>
        <v>-0.28451580950644972</v>
      </c>
      <c r="D80" s="37">
        <f t="shared" si="29"/>
        <v>-0.24252434658906979</v>
      </c>
      <c r="E80" s="37">
        <f t="shared" si="30"/>
        <v>-13.416111562056894</v>
      </c>
      <c r="F80" s="37">
        <f>(M67-E67)/F67</f>
        <v>-14.914620007027246</v>
      </c>
      <c r="G80" s="37">
        <f>(C55-H67)/I67</f>
        <v>-13.52210599709826</v>
      </c>
      <c r="H80" s="103">
        <v>-2.544859E-2</v>
      </c>
      <c r="I80" s="103">
        <v>-8.820128E-3</v>
      </c>
      <c r="J80" s="103">
        <v>-0.12829589629999999</v>
      </c>
      <c r="K80" s="103">
        <v>-2.544859E-2</v>
      </c>
      <c r="L80" s="103">
        <v>-8.820128E-3</v>
      </c>
      <c r="M80" s="103">
        <v>-0.12829589629999999</v>
      </c>
      <c r="N80" s="37">
        <f t="shared" si="21"/>
        <v>7.7901155566798283E-3</v>
      </c>
      <c r="O80" s="37">
        <f t="shared" si="22"/>
        <v>2.5094658578705036E-3</v>
      </c>
      <c r="P80" s="37">
        <f t="shared" si="23"/>
        <v>3.1114878420216555E-2</v>
      </c>
      <c r="Q80" s="37">
        <f t="shared" si="24"/>
        <v>0.34142112253704548</v>
      </c>
      <c r="R80" s="37">
        <f t="shared" si="25"/>
        <v>0.1315488575333412</v>
      </c>
      <c r="S80" s="37">
        <f t="shared" si="26"/>
        <v>1.7348307087613264</v>
      </c>
      <c r="T80" s="37"/>
    </row>
    <row r="81" spans="1:22" ht="15.5" x14ac:dyDescent="0.35">
      <c r="A81" s="31" t="s">
        <v>195</v>
      </c>
      <c r="B81" s="37">
        <f t="shared" si="27"/>
        <v>-0.60043107360432657</v>
      </c>
      <c r="C81" s="37">
        <f t="shared" si="28"/>
        <v>-0.3367523961125054</v>
      </c>
      <c r="D81" s="37">
        <f t="shared" si="29"/>
        <v>-0.28422050351559147</v>
      </c>
      <c r="E81" s="37">
        <f t="shared" si="30"/>
        <v>-3.4799373281222721</v>
      </c>
      <c r="F81" s="37">
        <f>(C56-E68)/F68</f>
        <v>-3.9700334247321507</v>
      </c>
      <c r="G81" s="37">
        <f>(C56-H68)/I68</f>
        <v>-4.0719202364979115</v>
      </c>
      <c r="H81" s="103">
        <v>8.5540501000000005E-2</v>
      </c>
      <c r="I81" s="103">
        <v>2.5959996999999999E-2</v>
      </c>
      <c r="J81" s="103">
        <v>2.57751167E-2</v>
      </c>
      <c r="K81" s="103">
        <v>8.5540501000000005E-2</v>
      </c>
      <c r="L81" s="103">
        <v>2.5959996999999999E-2</v>
      </c>
      <c r="M81" s="103">
        <v>2.57751167E-2</v>
      </c>
      <c r="N81" s="37">
        <f t="shared" si="21"/>
        <v>-5.1361174852081977E-2</v>
      </c>
      <c r="O81" s="37">
        <f t="shared" si="22"/>
        <v>-8.7420911928234521E-3</v>
      </c>
      <c r="P81" s="37">
        <f t="shared" si="23"/>
        <v>-7.3258166466471306E-3</v>
      </c>
      <c r="Q81" s="37">
        <f t="shared" si="24"/>
        <v>-0.29767558249618054</v>
      </c>
      <c r="R81" s="37">
        <f t="shared" si="25"/>
        <v>-0.10306205579594635</v>
      </c>
      <c r="S81" s="37">
        <f t="shared" si="26"/>
        <v>-0.10495421928882527</v>
      </c>
      <c r="T81" s="37"/>
    </row>
    <row r="82" spans="1:22" ht="15.5" x14ac:dyDescent="0.35">
      <c r="A82" s="31" t="s">
        <v>196</v>
      </c>
      <c r="B82" s="37">
        <f t="shared" si="27"/>
        <v>-0.25253965411816631</v>
      </c>
      <c r="C82" s="37">
        <f t="shared" si="28"/>
        <v>-0.1165238174513212</v>
      </c>
      <c r="D82" s="37">
        <f t="shared" si="29"/>
        <v>-5.6836599655448156E-2</v>
      </c>
      <c r="E82" s="37">
        <f t="shared" si="30"/>
        <v>-1.3669933006476462</v>
      </c>
      <c r="F82" s="37">
        <f>(C57-E69)/F69</f>
        <v>-1.3889651764611073</v>
      </c>
      <c r="G82" s="37">
        <f>(C57-H69)/I69</f>
        <v>-1.4106745610462459</v>
      </c>
      <c r="H82" s="103">
        <v>2.4163990000000001E-3</v>
      </c>
      <c r="I82" s="103">
        <v>1.263248E-3</v>
      </c>
      <c r="J82" s="103">
        <v>5.0012677999999996E-3</v>
      </c>
      <c r="K82" s="103">
        <v>2.4163990000000001E-3</v>
      </c>
      <c r="L82" s="103">
        <v>1.263248E-3</v>
      </c>
      <c r="M82" s="103">
        <v>5.0012677999999996E-3</v>
      </c>
      <c r="N82" s="37">
        <f t="shared" si="21"/>
        <v>-6.1023656767148296E-4</v>
      </c>
      <c r="O82" s="37">
        <f t="shared" si="22"/>
        <v>-1.471984793477466E-4</v>
      </c>
      <c r="P82" s="37">
        <f t="shared" si="23"/>
        <v>-2.8425505571828396E-4</v>
      </c>
      <c r="Q82" s="37">
        <f t="shared" si="24"/>
        <v>-3.3032012446916718E-3</v>
      </c>
      <c r="R82" s="37">
        <f t="shared" si="25"/>
        <v>-1.7546074812341409E-3</v>
      </c>
      <c r="S82" s="37">
        <f t="shared" si="26"/>
        <v>-7.0551612584397235E-3</v>
      </c>
      <c r="T82" s="37"/>
    </row>
    <row r="83" spans="1:22" ht="15.5" x14ac:dyDescent="0.35">
      <c r="A83" s="31" t="s">
        <v>197</v>
      </c>
      <c r="B83" s="37">
        <f t="shared" si="27"/>
        <v>0.89657804525641382</v>
      </c>
      <c r="C83" s="37">
        <f t="shared" si="28"/>
        <v>0.37151719891391294</v>
      </c>
      <c r="D83" s="37">
        <f t="shared" si="29"/>
        <v>0.35494127047100033</v>
      </c>
      <c r="E83" s="37">
        <f t="shared" si="30"/>
        <v>-0.72232425803683808</v>
      </c>
      <c r="F83" s="37">
        <f>(C58-E70)/F70</f>
        <v>-1.2299087107160214</v>
      </c>
      <c r="G83" s="37">
        <f>(Q70-H70)/I70</f>
        <v>-1.2288119554363517</v>
      </c>
      <c r="H83" s="103">
        <v>-6.8985719000000001E-2</v>
      </c>
      <c r="I83" s="103">
        <v>-5.2529982000000003E-2</v>
      </c>
      <c r="J83" s="103">
        <v>-8.7966958200000001E-2</v>
      </c>
      <c r="K83" s="103">
        <v>-6.8985719000000001E-2</v>
      </c>
      <c r="L83" s="103">
        <v>-5.2529982000000003E-2</v>
      </c>
      <c r="M83" s="103">
        <v>-8.7966958200000001E-2</v>
      </c>
      <c r="N83" s="37">
        <f t="shared" si="21"/>
        <v>-6.1851081091628249E-2</v>
      </c>
      <c r="O83" s="37">
        <f t="shared" si="22"/>
        <v>-1.9515791771638268E-2</v>
      </c>
      <c r="P83" s="37">
        <f t="shared" si="23"/>
        <v>-3.1223103902977379E-2</v>
      </c>
      <c r="Q83" s="37">
        <f t="shared" si="24"/>
        <v>4.9830058291812807E-2</v>
      </c>
      <c r="R83" s="37">
        <f t="shared" si="25"/>
        <v>6.460708243555581E-2</v>
      </c>
      <c r="S83" s="37">
        <f t="shared" si="26"/>
        <v>0.10809484991952981</v>
      </c>
      <c r="T83" s="37"/>
    </row>
    <row r="84" spans="1:22" ht="15.5" x14ac:dyDescent="0.35">
      <c r="A84" s="31" t="s">
        <v>198</v>
      </c>
      <c r="B84" s="37">
        <f t="shared" si="27"/>
        <v>-0.94437195961267884</v>
      </c>
      <c r="C84" s="37">
        <f t="shared" si="28"/>
        <v>-0.98048385687743544</v>
      </c>
      <c r="D84" s="37">
        <f t="shared" si="29"/>
        <v>-0.88444344016290311</v>
      </c>
      <c r="E84" s="37">
        <f t="shared" si="30"/>
        <v>-1.102173520031831</v>
      </c>
      <c r="F84" s="37">
        <f>(C59-E71)/F71</f>
        <v>-1.1266928941311327</v>
      </c>
      <c r="G84" s="37">
        <f>(C59-H71)/I71</f>
        <v>-1.0263757581190573</v>
      </c>
      <c r="H84" s="103">
        <v>3.1848952E-2</v>
      </c>
      <c r="I84" s="103">
        <v>7.3615824999999996E-2</v>
      </c>
      <c r="J84" s="103">
        <v>0.1236494206</v>
      </c>
      <c r="K84" s="103">
        <v>3.1848952E-2</v>
      </c>
      <c r="L84" s="103">
        <v>7.3615824999999996E-2</v>
      </c>
      <c r="M84" s="103">
        <v>0.1236494206</v>
      </c>
      <c r="N84" s="37">
        <f t="shared" si="21"/>
        <v>-3.0077257211850148E-2</v>
      </c>
      <c r="O84" s="37">
        <f t="shared" si="22"/>
        <v>-7.2179128023214328E-2</v>
      </c>
      <c r="P84" s="37">
        <f t="shared" si="23"/>
        <v>-0.10936091892961375</v>
      </c>
      <c r="Q84" s="37">
        <f t="shared" si="24"/>
        <v>-3.5103071535164822E-2</v>
      </c>
      <c r="R84" s="37">
        <f t="shared" si="25"/>
        <v>-8.2942426923100984E-2</v>
      </c>
      <c r="S84" s="37">
        <f t="shared" si="26"/>
        <v>-0.12691076780930718</v>
      </c>
      <c r="T84" s="37"/>
    </row>
    <row r="85" spans="1:22" ht="15.5" x14ac:dyDescent="0.35">
      <c r="A85" s="31" t="s">
        <v>86</v>
      </c>
      <c r="B85" s="37">
        <f t="shared" ref="B85:G85" si="31">B79*B80</f>
        <v>-1.4549830830786687E-2</v>
      </c>
      <c r="C85" s="37">
        <f t="shared" si="31"/>
        <v>-0.1270949752156445</v>
      </c>
      <c r="D85" s="37">
        <f t="shared" si="31"/>
        <v>-0.10207452395989734</v>
      </c>
      <c r="E85" s="37">
        <f t="shared" si="31"/>
        <v>179.30957723743722</v>
      </c>
      <c r="F85" s="37">
        <f t="shared" si="31"/>
        <v>176.70902627843662</v>
      </c>
      <c r="G85" s="37">
        <f t="shared" si="31"/>
        <v>168.00270905262249</v>
      </c>
      <c r="H85" s="103">
        <v>1.7462966999999999E-2</v>
      </c>
      <c r="I85" s="103">
        <v>0</v>
      </c>
      <c r="J85" s="37">
        <v>0</v>
      </c>
      <c r="K85" s="103">
        <v>1.7462966999999999E-2</v>
      </c>
      <c r="L85" s="103">
        <v>0</v>
      </c>
      <c r="M85" s="37">
        <v>0</v>
      </c>
      <c r="N85" s="37">
        <f t="shared" si="21"/>
        <v>-2.5408321565361047E-4</v>
      </c>
      <c r="O85" s="37">
        <f t="shared" si="22"/>
        <v>0</v>
      </c>
      <c r="P85" s="37">
        <f t="shared" si="23"/>
        <v>0</v>
      </c>
      <c r="Q85" s="37">
        <f t="shared" si="24"/>
        <v>3.1312772300813174</v>
      </c>
      <c r="R85" s="37">
        <f t="shared" si="25"/>
        <v>0</v>
      </c>
      <c r="S85" s="37">
        <f t="shared" si="26"/>
        <v>0</v>
      </c>
      <c r="T85" s="37"/>
    </row>
    <row r="86" spans="1:22" ht="15.5" x14ac:dyDescent="0.35">
      <c r="A86" s="31" t="s">
        <v>98</v>
      </c>
      <c r="B86" s="37">
        <f t="shared" ref="B86:G86" si="32">B84*B84</f>
        <v>0.89183839810269105</v>
      </c>
      <c r="C86" s="37">
        <f t="shared" si="32"/>
        <v>0.96134859359725133</v>
      </c>
      <c r="D86" s="37">
        <f t="shared" si="32"/>
        <v>0.78224019884719076</v>
      </c>
      <c r="E86" s="37">
        <f t="shared" si="32"/>
        <v>1.214786468259357</v>
      </c>
      <c r="F86" s="37">
        <f t="shared" si="32"/>
        <v>1.2694368776855878</v>
      </c>
      <c r="G86" s="37">
        <f t="shared" si="32"/>
        <v>1.0534471968544696</v>
      </c>
      <c r="H86" s="37">
        <v>0</v>
      </c>
      <c r="I86" s="103">
        <v>0</v>
      </c>
      <c r="J86" s="37">
        <v>0</v>
      </c>
      <c r="K86" s="37">
        <v>0</v>
      </c>
      <c r="L86" s="103">
        <v>0</v>
      </c>
      <c r="M86" s="37">
        <v>0</v>
      </c>
      <c r="N86" s="37">
        <f t="shared" si="21"/>
        <v>0</v>
      </c>
      <c r="O86" s="37">
        <f t="shared" si="22"/>
        <v>0</v>
      </c>
      <c r="P86" s="37">
        <f t="shared" si="23"/>
        <v>0</v>
      </c>
      <c r="Q86" s="37">
        <f t="shared" si="24"/>
        <v>0</v>
      </c>
      <c r="R86" s="37">
        <f t="shared" si="25"/>
        <v>0</v>
      </c>
      <c r="S86" s="37">
        <f t="shared" si="26"/>
        <v>0</v>
      </c>
      <c r="T86" s="37"/>
    </row>
    <row r="87" spans="1:22" ht="15.5" x14ac:dyDescent="0.35">
      <c r="A87" s="31" t="s">
        <v>97</v>
      </c>
      <c r="B87" s="37">
        <f t="shared" ref="B87:G87" si="33">B83*B83</f>
        <v>0.80385219123581209</v>
      </c>
      <c r="C87" s="37">
        <f t="shared" si="33"/>
        <v>0.13802502908883996</v>
      </c>
      <c r="D87" s="37">
        <f t="shared" si="33"/>
        <v>0.12598330548356781</v>
      </c>
      <c r="E87" s="37">
        <f t="shared" si="33"/>
        <v>0.52175233374846863</v>
      </c>
      <c r="F87" s="37">
        <f t="shared" si="33"/>
        <v>1.512675436695146</v>
      </c>
      <c r="G87" s="37">
        <f t="shared" si="33"/>
        <v>1.5099788218233103</v>
      </c>
      <c r="H87" s="37">
        <v>0</v>
      </c>
      <c r="I87" s="103">
        <v>-1.6509920000000001E-2</v>
      </c>
      <c r="J87" s="103">
        <v>2.63094995E-2</v>
      </c>
      <c r="K87" s="37">
        <v>0</v>
      </c>
      <c r="L87" s="103">
        <v>-1.6509920000000001E-2</v>
      </c>
      <c r="M87" s="103">
        <v>2.63094995E-2</v>
      </c>
      <c r="N87" s="37">
        <f t="shared" si="21"/>
        <v>0</v>
      </c>
      <c r="O87" s="37">
        <f t="shared" si="22"/>
        <v>-2.2787821882544208E-3</v>
      </c>
      <c r="P87" s="37">
        <f t="shared" si="23"/>
        <v>3.3145577126282746E-3</v>
      </c>
      <c r="Q87" s="37">
        <f t="shared" si="24"/>
        <v>0</v>
      </c>
      <c r="R87" s="37">
        <f t="shared" si="25"/>
        <v>-2.4974150445801927E-2</v>
      </c>
      <c r="S87" s="37">
        <f t="shared" si="26"/>
        <v>3.9726787057770975E-2</v>
      </c>
      <c r="T87" s="37"/>
    </row>
    <row r="88" spans="1:22" ht="15.5" x14ac:dyDescent="0.35">
      <c r="A88" s="31" t="s">
        <v>84</v>
      </c>
      <c r="B88" s="37">
        <f t="shared" ref="B88:G89" si="34">B79*B81</f>
        <v>-2.8539143070487341E-2</v>
      </c>
      <c r="C88" s="37">
        <f t="shared" si="34"/>
        <v>-0.15042938215620508</v>
      </c>
      <c r="D88" s="37">
        <f t="shared" si="34"/>
        <v>-0.11962375326034108</v>
      </c>
      <c r="E88" s="37">
        <f t="shared" si="34"/>
        <v>46.510204408490686</v>
      </c>
      <c r="F88" s="37">
        <f t="shared" si="34"/>
        <v>47.037117971944575</v>
      </c>
      <c r="G88" s="37">
        <f t="shared" si="34"/>
        <v>50.590760856677619</v>
      </c>
      <c r="H88" s="37">
        <v>0</v>
      </c>
      <c r="I88" s="103">
        <v>9.884126E-3</v>
      </c>
      <c r="J88" s="103">
        <v>9.7974641999999997E-3</v>
      </c>
      <c r="K88" s="37">
        <v>0</v>
      </c>
      <c r="L88" s="103">
        <v>9.884126E-3</v>
      </c>
      <c r="M88" s="103">
        <v>9.7974641999999997E-3</v>
      </c>
      <c r="N88" s="37">
        <f t="shared" si="21"/>
        <v>0</v>
      </c>
      <c r="O88" s="37">
        <f t="shared" si="22"/>
        <v>-1.4868629673340827E-3</v>
      </c>
      <c r="P88" s="37">
        <f t="shared" si="23"/>
        <v>-1.1720094400378251E-3</v>
      </c>
      <c r="Q88" s="37">
        <f t="shared" si="24"/>
        <v>0</v>
      </c>
      <c r="R88" s="37">
        <f t="shared" si="25"/>
        <v>0.46492080071156466</v>
      </c>
      <c r="S88" s="37">
        <f t="shared" si="26"/>
        <v>0.49566116834406027</v>
      </c>
      <c r="T88" s="37"/>
    </row>
    <row r="89" spans="1:22" ht="15.5" x14ac:dyDescent="0.35">
      <c r="A89" s="31" t="s">
        <v>103</v>
      </c>
      <c r="B89" s="37">
        <f t="shared" si="34"/>
        <v>7.7305386594089115E-2</v>
      </c>
      <c r="C89" s="37">
        <f t="shared" si="34"/>
        <v>3.3152868248944423E-2</v>
      </c>
      <c r="D89" s="37">
        <f t="shared" si="34"/>
        <v>1.3784259193782114E-2</v>
      </c>
      <c r="E89" s="37">
        <f t="shared" si="34"/>
        <v>18.339734626073202</v>
      </c>
      <c r="F89" s="37">
        <f t="shared" si="34"/>
        <v>20.71588780991096</v>
      </c>
      <c r="G89" s="37">
        <f t="shared" si="34"/>
        <v>19.075290941877398</v>
      </c>
      <c r="H89" s="37">
        <v>0</v>
      </c>
      <c r="I89" s="103">
        <v>-7.3601090000000001E-3</v>
      </c>
      <c r="J89" s="37">
        <v>0</v>
      </c>
      <c r="K89" s="37">
        <v>0</v>
      </c>
      <c r="L89" s="103">
        <v>-7.3601090000000001E-3</v>
      </c>
      <c r="M89" s="37">
        <v>0</v>
      </c>
      <c r="N89" s="37">
        <f t="shared" si="21"/>
        <v>0</v>
      </c>
      <c r="O89" s="37">
        <f t="shared" si="22"/>
        <v>-2.4400872397487008E-4</v>
      </c>
      <c r="P89" s="37">
        <f t="shared" si="23"/>
        <v>0</v>
      </c>
      <c r="Q89" s="37">
        <f t="shared" si="24"/>
        <v>0</v>
      </c>
      <c r="R89" s="37">
        <f t="shared" si="25"/>
        <v>-0.15247119231271594</v>
      </c>
      <c r="S89" s="37">
        <f t="shared" si="26"/>
        <v>0</v>
      </c>
      <c r="T89" s="37"/>
    </row>
    <row r="90" spans="1:22" ht="15.5" x14ac:dyDescent="0.35">
      <c r="A90" s="31" t="s">
        <v>88</v>
      </c>
      <c r="B90" s="37">
        <f t="shared" ref="B90:G90" si="35">B80*B80</f>
        <v>9.3704478949642664E-2</v>
      </c>
      <c r="C90" s="37">
        <f t="shared" si="35"/>
        <v>8.0949245859110383E-2</v>
      </c>
      <c r="D90" s="37">
        <f t="shared" si="35"/>
        <v>5.8818058688455251E-2</v>
      </c>
      <c r="E90" s="37">
        <f t="shared" si="35"/>
        <v>179.99204944555669</v>
      </c>
      <c r="F90" s="37">
        <f t="shared" si="35"/>
        <v>222.44588995401739</v>
      </c>
      <c r="G90" s="37">
        <f t="shared" si="35"/>
        <v>182.84735059676072</v>
      </c>
      <c r="H90" s="37">
        <v>0</v>
      </c>
      <c r="I90" s="103">
        <v>7.7669999999999996E-3</v>
      </c>
      <c r="J90" s="37">
        <v>0</v>
      </c>
      <c r="K90" s="37">
        <v>0</v>
      </c>
      <c r="L90" s="103">
        <v>7.7669999999999996E-3</v>
      </c>
      <c r="M90" s="37">
        <v>0</v>
      </c>
      <c r="N90" s="37">
        <f t="shared" si="21"/>
        <v>0</v>
      </c>
      <c r="O90" s="37">
        <f t="shared" si="22"/>
        <v>6.2873279258771032E-4</v>
      </c>
      <c r="P90" s="37">
        <f t="shared" si="23"/>
        <v>0</v>
      </c>
      <c r="Q90" s="37">
        <f t="shared" si="24"/>
        <v>0</v>
      </c>
      <c r="R90" s="37">
        <f t="shared" si="25"/>
        <v>1.7277372272728531</v>
      </c>
      <c r="S90" s="37">
        <f t="shared" si="26"/>
        <v>0</v>
      </c>
      <c r="T90" s="37"/>
    </row>
    <row r="91" spans="1:22" ht="15.5" x14ac:dyDescent="0.35">
      <c r="A91" s="31" t="s">
        <v>87</v>
      </c>
      <c r="B91" s="37">
        <f t="shared" ref="B91:G91" si="36">B79*B83</f>
        <v>4.2615331271633056E-2</v>
      </c>
      <c r="C91" s="37">
        <f t="shared" si="36"/>
        <v>0.1659590350007564</v>
      </c>
      <c r="D91" s="37">
        <f t="shared" si="36"/>
        <v>0.14938896538266719</v>
      </c>
      <c r="E91" s="37">
        <f t="shared" si="36"/>
        <v>9.654038484834544</v>
      </c>
      <c r="F91" s="37">
        <f t="shared" si="36"/>
        <v>14.57200857813303</v>
      </c>
      <c r="G91" s="37">
        <f t="shared" si="36"/>
        <v>15.267129060655105</v>
      </c>
      <c r="H91" s="37">
        <v>0</v>
      </c>
      <c r="I91" s="37">
        <v>0</v>
      </c>
      <c r="J91" s="103">
        <v>2.17627102E-2</v>
      </c>
      <c r="K91" s="37">
        <v>0</v>
      </c>
      <c r="L91" s="37">
        <v>0</v>
      </c>
      <c r="M91" s="103">
        <v>2.17627102E-2</v>
      </c>
      <c r="N91" s="37">
        <f t="shared" si="21"/>
        <v>0</v>
      </c>
      <c r="O91" s="37">
        <f t="shared" si="22"/>
        <v>0</v>
      </c>
      <c r="P91" s="37">
        <f t="shared" si="23"/>
        <v>3.2511087607008183E-3</v>
      </c>
      <c r="Q91" s="37">
        <f t="shared" si="24"/>
        <v>0</v>
      </c>
      <c r="R91" s="37">
        <f t="shared" si="25"/>
        <v>0</v>
      </c>
      <c r="S91" s="37">
        <f t="shared" si="26"/>
        <v>0.33225410533303529</v>
      </c>
      <c r="T91" s="37"/>
    </row>
    <row r="92" spans="1:22" ht="15.5" x14ac:dyDescent="0.35">
      <c r="A92" s="31" t="s">
        <v>95</v>
      </c>
      <c r="B92" s="37">
        <f t="shared" ref="B92:G92" si="37">B81*B84</f>
        <v>0.56703026959206249</v>
      </c>
      <c r="C92" s="37">
        <f t="shared" si="37"/>
        <v>0.33018028815310718</v>
      </c>
      <c r="D92" s="37">
        <f t="shared" si="37"/>
        <v>0.2513769598941622</v>
      </c>
      <c r="E92" s="37">
        <f t="shared" si="37"/>
        <v>3.8354947744266896</v>
      </c>
      <c r="F92" s="37">
        <f t="shared" si="37"/>
        <v>4.4730084491087991</v>
      </c>
      <c r="G92" s="37">
        <f t="shared" si="37"/>
        <v>4.1793202197358754</v>
      </c>
      <c r="H92" s="103">
        <v>0</v>
      </c>
      <c r="I92" s="37">
        <v>0</v>
      </c>
      <c r="J92" s="37">
        <v>0</v>
      </c>
      <c r="K92" s="103">
        <v>0</v>
      </c>
      <c r="L92" s="37">
        <v>0</v>
      </c>
      <c r="M92" s="37">
        <v>0</v>
      </c>
      <c r="N92" s="37">
        <f t="shared" si="21"/>
        <v>0</v>
      </c>
      <c r="O92" s="37">
        <f t="shared" si="22"/>
        <v>0</v>
      </c>
      <c r="P92" s="37">
        <f t="shared" si="23"/>
        <v>0</v>
      </c>
      <c r="Q92" s="37">
        <f t="shared" si="24"/>
        <v>0</v>
      </c>
      <c r="R92" s="37">
        <f t="shared" si="25"/>
        <v>0</v>
      </c>
      <c r="S92" s="37">
        <f t="shared" si="26"/>
        <v>0</v>
      </c>
      <c r="T92" s="37"/>
    </row>
    <row r="93" spans="1:22" ht="15.5" x14ac:dyDescent="0.35">
      <c r="A93" s="31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>
        <f t="shared" ref="N93:S93" si="38">SUM(N77:N92)</f>
        <v>1.4918068486603664</v>
      </c>
      <c r="O93" s="37">
        <f t="shared" si="38"/>
        <v>1.0780751579117129</v>
      </c>
      <c r="P93" s="37">
        <f t="shared" si="38"/>
        <v>-0.3586859943765433</v>
      </c>
      <c r="Q93" s="37">
        <f t="shared" si="38"/>
        <v>4.6818774253784161</v>
      </c>
      <c r="R93" s="37">
        <f t="shared" si="38"/>
        <v>2.9234323923033276</v>
      </c>
      <c r="S93" s="37">
        <f t="shared" si="38"/>
        <v>1.9909325141205236</v>
      </c>
      <c r="T93" s="37"/>
    </row>
    <row r="94" spans="1:22" ht="15.5" x14ac:dyDescent="0.35">
      <c r="A94" s="31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76">
        <f>((EXP(Q93)/EXP(N93))-1)*100</f>
        <v>2329.0141701082712</v>
      </c>
      <c r="R94" s="76">
        <f>((EXP(R93)/EXP(O93))-1)*100</f>
        <v>533.0360809113547</v>
      </c>
      <c r="S94" s="76">
        <f>((EXP(S93)/EXP(P93))-1)*100</f>
        <v>948.15703318898773</v>
      </c>
      <c r="T94" s="76">
        <f>SUM(Q96:S96)</f>
        <v>916.26068433986757</v>
      </c>
    </row>
    <row r="95" spans="1:22" ht="16" thickBot="1" x14ac:dyDescent="0.4">
      <c r="A95" s="31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>
        <v>6.3352868666335077E-2</v>
      </c>
      <c r="R95" s="37">
        <v>0.28757307728350745</v>
      </c>
      <c r="S95" s="37">
        <v>0.6490740540501575</v>
      </c>
      <c r="T95" s="37"/>
    </row>
    <row r="96" spans="1:22" ht="16" thickBot="1" x14ac:dyDescent="0.4">
      <c r="A96" s="3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76">
        <f>Q95*Q94</f>
        <v>147.54972884090267</v>
      </c>
      <c r="R96" s="76">
        <f>R95*R94</f>
        <v>153.28682609081895</v>
      </c>
      <c r="S96" s="76">
        <f>S95*S94</f>
        <v>615.42412940814597</v>
      </c>
      <c r="T96" s="76">
        <f>SUM(Q96:S96)</f>
        <v>916.26068433986757</v>
      </c>
      <c r="U96" s="37">
        <f>0.06/4.01</f>
        <v>1.4962593516209476E-2</v>
      </c>
      <c r="V96" s="104">
        <f>T96*U96</f>
        <v>13.709636174661359</v>
      </c>
    </row>
    <row r="97" spans="20:22" ht="15.5" x14ac:dyDescent="0.35">
      <c r="T97" s="50" t="s">
        <v>217</v>
      </c>
      <c r="U97" s="50" t="s">
        <v>218</v>
      </c>
      <c r="V97" s="50" t="s">
        <v>219</v>
      </c>
    </row>
  </sheetData>
  <sheetProtection password="F627" sheet="1" objects="1" scenarios="1"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Q71"/>
  <sheetViews>
    <sheetView zoomScale="75" zoomScaleNormal="75" workbookViewId="0">
      <selection sqref="A1:K1"/>
    </sheetView>
  </sheetViews>
  <sheetFormatPr defaultColWidth="8.81640625" defaultRowHeight="12.5" x14ac:dyDescent="0.25"/>
  <cols>
    <col min="1" max="1" width="10" style="84" customWidth="1"/>
    <col min="2" max="2" width="11" style="84" customWidth="1"/>
    <col min="3" max="3" width="4.54296875" style="84" customWidth="1"/>
    <col min="4" max="4" width="4.81640625" style="84" customWidth="1"/>
    <col min="5" max="5" width="13.7265625" style="84" customWidth="1"/>
    <col min="6" max="6" width="4.7265625" style="84" customWidth="1"/>
    <col min="7" max="7" width="8.7265625" style="84" customWidth="1"/>
    <col min="8" max="8" width="11.1796875" style="84" customWidth="1"/>
    <col min="9" max="9" width="7.453125" style="84" customWidth="1"/>
    <col min="10" max="11" width="11.7265625" style="84" customWidth="1"/>
    <col min="12" max="12" width="8.1796875" style="84" customWidth="1"/>
    <col min="13" max="15" width="8.81640625" style="84" customWidth="1"/>
    <col min="16" max="16" width="18.1796875" style="84" customWidth="1"/>
    <col min="17" max="16384" width="8.81640625" style="84"/>
  </cols>
  <sheetData>
    <row r="1" spans="1:13" ht="15" customHeight="1" x14ac:dyDescent="0.4">
      <c r="A1" s="299" t="s">
        <v>310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25"/>
    </row>
    <row r="2" spans="1:13" ht="15" customHeight="1" x14ac:dyDescent="0.35">
      <c r="A2" s="301" t="s">
        <v>306</v>
      </c>
      <c r="B2" s="302"/>
      <c r="C2" s="300"/>
      <c r="D2" s="300"/>
      <c r="E2" s="300"/>
      <c r="F2" s="300"/>
      <c r="G2" s="300"/>
      <c r="H2" s="300"/>
      <c r="I2" s="300"/>
      <c r="J2" s="300"/>
      <c r="K2" s="300"/>
      <c r="L2" s="25"/>
    </row>
    <row r="3" spans="1:13" ht="15" customHeight="1" x14ac:dyDescent="0.4">
      <c r="A3" s="303" t="str">
        <f>IF(E9="Y","FIRST","FINAL")</f>
        <v>FINAL</v>
      </c>
      <c r="B3" s="303"/>
      <c r="C3" s="248"/>
      <c r="D3" s="248"/>
      <c r="E3" s="248"/>
      <c r="F3" s="248"/>
      <c r="G3" s="248"/>
      <c r="H3" s="248"/>
      <c r="I3" s="248"/>
      <c r="J3" s="248"/>
      <c r="K3" s="248"/>
      <c r="L3" s="25"/>
    </row>
    <row r="4" spans="1:13" ht="15" customHeight="1" x14ac:dyDescent="0.4">
      <c r="A4" s="304" t="s">
        <v>311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178"/>
    </row>
    <row r="5" spans="1:13" ht="15" customHeight="1" x14ac:dyDescent="0.3">
      <c r="A5" s="305"/>
      <c r="B5" s="305"/>
      <c r="C5" s="248"/>
      <c r="D5" s="248"/>
      <c r="E5" s="248"/>
      <c r="F5" s="248"/>
      <c r="G5" s="248"/>
      <c r="H5" s="248"/>
      <c r="I5" s="248"/>
      <c r="J5" s="248"/>
      <c r="K5" s="248"/>
      <c r="L5" s="25"/>
    </row>
    <row r="6" spans="1:13" ht="15" customHeight="1" x14ac:dyDescent="0.35">
      <c r="A6" s="321" t="s">
        <v>312</v>
      </c>
      <c r="B6" s="262"/>
      <c r="C6" s="179"/>
      <c r="D6" s="319" t="s">
        <v>237</v>
      </c>
      <c r="E6" s="320"/>
      <c r="F6" s="320"/>
      <c r="G6" s="320"/>
      <c r="H6" s="320"/>
      <c r="I6" s="320"/>
      <c r="J6" s="318" t="s">
        <v>238</v>
      </c>
      <c r="K6" s="262"/>
      <c r="L6" s="25"/>
    </row>
    <row r="7" spans="1:13" ht="15" customHeight="1" thickBot="1" x14ac:dyDescent="0.4">
      <c r="A7" s="295"/>
      <c r="B7" s="295"/>
      <c r="C7" s="248"/>
      <c r="D7" s="248"/>
      <c r="E7" s="248"/>
      <c r="F7" s="248"/>
      <c r="G7" s="248"/>
      <c r="H7" s="248"/>
      <c r="I7" s="248"/>
      <c r="J7" s="248"/>
      <c r="K7" s="248"/>
      <c r="L7" s="25"/>
    </row>
    <row r="8" spans="1:13" ht="15" customHeight="1" thickTop="1" x14ac:dyDescent="0.35">
      <c r="A8" s="312" t="s">
        <v>283</v>
      </c>
      <c r="B8" s="312"/>
      <c r="C8" s="312"/>
      <c r="D8" s="313"/>
      <c r="E8" s="181" t="s">
        <v>284</v>
      </c>
      <c r="F8" s="308" t="s">
        <v>285</v>
      </c>
      <c r="G8" s="309"/>
      <c r="H8" s="310"/>
      <c r="I8" s="310"/>
      <c r="J8" s="310"/>
      <c r="K8" s="311"/>
      <c r="L8" s="182"/>
    </row>
    <row r="9" spans="1:13" ht="15" customHeight="1" x14ac:dyDescent="0.35">
      <c r="A9" s="295" t="s">
        <v>297</v>
      </c>
      <c r="B9" s="295"/>
      <c r="C9" s="248"/>
      <c r="D9" s="248"/>
      <c r="E9" s="183"/>
      <c r="F9" s="314" t="str">
        <f>IF(E9="Y","Notification ID number:"," ")</f>
        <v xml:space="preserve"> </v>
      </c>
      <c r="G9" s="315"/>
      <c r="H9" s="316"/>
      <c r="I9" s="317"/>
      <c r="J9" s="306" t="str">
        <f>IF(E9="Y",TEXT(C13," ")&amp;TEXT(A8," ")&amp;TEXT(E16,"mmddyy")&amp;TEXT(J16,"hhmm")," ")</f>
        <v xml:space="preserve"> </v>
      </c>
      <c r="K9" s="307"/>
      <c r="L9" s="184"/>
    </row>
    <row r="10" spans="1:13" ht="15" customHeight="1" x14ac:dyDescent="0.35">
      <c r="A10" s="270" t="s">
        <v>286</v>
      </c>
      <c r="B10" s="270"/>
      <c r="C10" s="248"/>
      <c r="D10" s="271"/>
      <c r="E10" s="186"/>
      <c r="F10" s="273" t="str">
        <f>IF(E9="N","Enter notification ID number"," ")</f>
        <v xml:space="preserve"> </v>
      </c>
      <c r="G10" s="274"/>
      <c r="H10" s="275"/>
      <c r="I10" s="276"/>
      <c r="J10" s="286"/>
      <c r="K10" s="287"/>
      <c r="L10" s="187"/>
    </row>
    <row r="11" spans="1:13" ht="15" customHeight="1" thickBot="1" x14ac:dyDescent="0.4">
      <c r="A11" s="270" t="s">
        <v>287</v>
      </c>
      <c r="B11" s="270"/>
      <c r="C11" s="248"/>
      <c r="D11" s="271"/>
      <c r="E11" s="188"/>
      <c r="F11" s="277" t="str">
        <f>IF(E9="N","from FIRST notification:"," ")</f>
        <v xml:space="preserve"> </v>
      </c>
      <c r="G11" s="278"/>
      <c r="H11" s="279"/>
      <c r="I11" s="280"/>
      <c r="J11" s="290"/>
      <c r="K11" s="291"/>
      <c r="L11" s="189"/>
    </row>
    <row r="12" spans="1:13" ht="15" customHeight="1" thickTop="1" x14ac:dyDescent="0.35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189"/>
    </row>
    <row r="13" spans="1:13" ht="15" customHeight="1" x14ac:dyDescent="0.35">
      <c r="A13" s="180" t="s">
        <v>288</v>
      </c>
      <c r="B13" s="180"/>
      <c r="C13" s="294"/>
      <c r="D13" s="294"/>
      <c r="E13" s="248"/>
      <c r="F13" s="248"/>
      <c r="G13" s="248"/>
      <c r="H13" s="248"/>
      <c r="I13" s="248"/>
      <c r="J13" s="248"/>
      <c r="K13" s="248"/>
      <c r="L13" s="25"/>
    </row>
    <row r="14" spans="1:13" ht="15" customHeight="1" x14ac:dyDescent="0.35">
      <c r="A14" s="295" t="s">
        <v>289</v>
      </c>
      <c r="B14" s="288"/>
      <c r="C14" s="296"/>
      <c r="D14" s="297"/>
      <c r="E14" s="298" t="str">
        <f>IF(E9="N","Date of first notification (mm/dd/yy):"," ")</f>
        <v xml:space="preserve"> </v>
      </c>
      <c r="F14" s="298"/>
      <c r="G14" s="298"/>
      <c r="H14" s="298"/>
      <c r="I14" s="298"/>
      <c r="J14" s="360"/>
      <c r="K14" s="360"/>
      <c r="L14" s="25"/>
    </row>
    <row r="15" spans="1:13" ht="15" customHeight="1" x14ac:dyDescent="0.35">
      <c r="A15" s="191" t="s">
        <v>239</v>
      </c>
      <c r="B15" s="191"/>
      <c r="C15" s="292"/>
      <c r="D15" s="293"/>
      <c r="E15" s="293"/>
      <c r="F15" s="293"/>
      <c r="G15" s="281" t="s">
        <v>240</v>
      </c>
      <c r="H15" s="248"/>
      <c r="I15" s="248"/>
      <c r="J15" s="289"/>
      <c r="K15" s="289"/>
      <c r="L15" s="192"/>
      <c r="M15" s="193"/>
    </row>
    <row r="16" spans="1:13" ht="15" customHeight="1" x14ac:dyDescent="0.35">
      <c r="A16" s="325" t="s">
        <v>298</v>
      </c>
      <c r="B16" s="248"/>
      <c r="C16" s="248"/>
      <c r="D16" s="248"/>
      <c r="E16" s="282"/>
      <c r="F16" s="283"/>
      <c r="G16" s="281" t="s">
        <v>290</v>
      </c>
      <c r="H16" s="281"/>
      <c r="I16" s="281"/>
      <c r="J16" s="361"/>
      <c r="K16" s="362"/>
      <c r="L16" s="195"/>
    </row>
    <row r="17" spans="1:17" ht="15" customHeight="1" x14ac:dyDescent="0.35">
      <c r="A17" s="191" t="s">
        <v>241</v>
      </c>
      <c r="B17" s="191"/>
      <c r="C17" s="272"/>
      <c r="D17" s="293"/>
      <c r="E17" s="293"/>
      <c r="F17" s="293"/>
      <c r="G17" s="293"/>
      <c r="H17" s="293"/>
      <c r="I17" s="293"/>
      <c r="J17" s="293"/>
      <c r="K17" s="293"/>
      <c r="L17" s="196"/>
    </row>
    <row r="18" spans="1:17" ht="15" customHeight="1" x14ac:dyDescent="0.35">
      <c r="A18" s="284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196"/>
    </row>
    <row r="19" spans="1:17" ht="15" customHeight="1" x14ac:dyDescent="0.35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196"/>
    </row>
    <row r="20" spans="1:17" ht="15" customHeight="1" x14ac:dyDescent="0.35">
      <c r="A20" s="325" t="s">
        <v>291</v>
      </c>
      <c r="B20" s="325"/>
      <c r="C20" s="325"/>
      <c r="D20" s="325"/>
      <c r="E20" s="325"/>
      <c r="F20" s="248"/>
      <c r="G20" s="248"/>
      <c r="H20" s="248"/>
      <c r="I20" s="347"/>
      <c r="J20" s="348"/>
      <c r="K20" s="348"/>
      <c r="L20" s="197"/>
    </row>
    <row r="21" spans="1:17" ht="15" customHeight="1" x14ac:dyDescent="0.35">
      <c r="A21" s="325" t="str">
        <f>IF(I20="Marine Vessel","Name of marine vessel bringing fuel to CA:","Name of transporter &amp; ID No. of Cargo Tank Truck or Railcar:")</f>
        <v>Name of transporter &amp; ID No. of Cargo Tank Truck or Railcar:</v>
      </c>
      <c r="B21" s="325"/>
      <c r="C21" s="248"/>
      <c r="D21" s="248"/>
      <c r="E21" s="248"/>
      <c r="F21" s="248"/>
      <c r="G21" s="248"/>
      <c r="H21" s="248"/>
      <c r="I21" s="347"/>
      <c r="J21" s="348"/>
      <c r="K21" s="348"/>
      <c r="L21" s="198"/>
    </row>
    <row r="22" spans="1:17" ht="15" customHeight="1" x14ac:dyDescent="0.35">
      <c r="A22" s="325" t="s">
        <v>292</v>
      </c>
      <c r="B22" s="325"/>
      <c r="C22" s="248"/>
      <c r="D22" s="248"/>
      <c r="E22" s="248"/>
      <c r="F22" s="248"/>
      <c r="G22" s="248"/>
      <c r="H22" s="248"/>
      <c r="I22" s="292"/>
      <c r="J22" s="292"/>
      <c r="K22" s="292"/>
      <c r="L22" s="199"/>
    </row>
    <row r="23" spans="1:17" ht="15" customHeight="1" thickBot="1" x14ac:dyDescent="0.4">
      <c r="A23" s="191" t="s">
        <v>293</v>
      </c>
      <c r="B23" s="373"/>
      <c r="C23" s="373"/>
      <c r="D23" s="373"/>
      <c r="E23" s="374" t="s">
        <v>294</v>
      </c>
      <c r="F23" s="374"/>
      <c r="G23" s="374"/>
      <c r="H23" s="374"/>
      <c r="I23" s="292"/>
      <c r="J23" s="293"/>
      <c r="K23" s="293"/>
      <c r="L23" s="200"/>
    </row>
    <row r="24" spans="1:17" ht="15" customHeight="1" thickTop="1" x14ac:dyDescent="0.35">
      <c r="A24" s="325"/>
      <c r="B24" s="325"/>
      <c r="C24" s="248"/>
      <c r="D24" s="248"/>
      <c r="E24" s="248"/>
      <c r="F24" s="248"/>
      <c r="G24" s="248"/>
      <c r="H24" s="248"/>
      <c r="I24" s="349"/>
      <c r="J24" s="201" t="s">
        <v>284</v>
      </c>
      <c r="K24" s="202" t="s">
        <v>171</v>
      </c>
      <c r="L24" s="203"/>
      <c r="M24" s="204"/>
      <c r="N24" s="203"/>
    </row>
    <row r="25" spans="1:17" ht="15" customHeight="1" x14ac:dyDescent="0.35">
      <c r="A25" s="325" t="str">
        <f>IF(I20="Marine Vessel","Do you have a Marine Vessel Protocol with CARB?:","Do you have a Cargo Tank Truck or Railcar Protocol with CARB?:")</f>
        <v>Do you have a Cargo Tank Truck or Railcar Protocol with CARB?:</v>
      </c>
      <c r="B25" s="325"/>
      <c r="C25" s="248"/>
      <c r="D25" s="248"/>
      <c r="E25" s="248"/>
      <c r="F25" s="248"/>
      <c r="G25" s="248"/>
      <c r="H25" s="248"/>
      <c r="I25" s="248"/>
      <c r="J25" s="205"/>
      <c r="K25" s="206" t="s">
        <v>173</v>
      </c>
      <c r="L25" s="25"/>
      <c r="M25" s="182"/>
      <c r="N25" s="182"/>
    </row>
    <row r="26" spans="1:17" ht="15" customHeight="1" thickBot="1" x14ac:dyDescent="0.4">
      <c r="A26" s="325" t="str">
        <f>IF(I20="Marine Vessel","Do you elect to use the marine vessel as the import facility?","Do you elect to use the Cargo Tank Truck or Railcar as the import facility?:")</f>
        <v>Do you elect to use the Cargo Tank Truck or Railcar as the import facility?:</v>
      </c>
      <c r="B26" s="325"/>
      <c r="C26" s="248"/>
      <c r="D26" s="248"/>
      <c r="E26" s="248"/>
      <c r="F26" s="248"/>
      <c r="G26" s="248"/>
      <c r="H26" s="248"/>
      <c r="I26" s="248"/>
      <c r="J26" s="207"/>
      <c r="K26" s="208"/>
      <c r="L26" s="25"/>
      <c r="M26" s="185"/>
      <c r="N26" s="209"/>
    </row>
    <row r="27" spans="1:17" ht="15" customHeight="1" thickTop="1" x14ac:dyDescent="0.35">
      <c r="A27" s="252" t="str">
        <f>IF(OR(A28="If you do not have a protocol you can not use the Cargo Tank or Railcar as the import facility",A28="If you do not have a protocol you can not use the marine vessel as the import facility"),"ERROR                                                   ERROR                                                                 ERROR"," ")</f>
        <v xml:space="preserve"> </v>
      </c>
      <c r="B27" s="252"/>
      <c r="C27" s="288"/>
      <c r="D27" s="288"/>
      <c r="E27" s="288"/>
      <c r="F27" s="288"/>
      <c r="G27" s="288"/>
      <c r="H27" s="288"/>
      <c r="I27" s="288"/>
      <c r="J27" s="288"/>
      <c r="K27" s="288"/>
      <c r="L27" s="210"/>
      <c r="Q27" s="190"/>
    </row>
    <row r="28" spans="1:17" ht="15" customHeight="1" x14ac:dyDescent="0.35">
      <c r="A28" s="323" t="str">
        <f>IF(I20="Marine Vessel",IF(AND(J25="Y",J26="Y"),"Using the MARINE VESSEL as the Import Facility",IF(OR(I20="Marine Vessel",I20="Cargo Tank/Railcar"),IF(AND(J25="N",J26="Y"),"If you do not have a protocol you can not use the marine vessel as the import facility","Using SHORE TANKS as the Import Facility"))),IF(AND(J25="Y",J26="Y"),"Using the CARGO TANK TRUCK or RAILCAR as the Import Facility",IF(AND(J25="N",J26="Y"),"If you do not have a protocol you can not use the Cargo Tank or Railcar as the import facility","Using the FACILITY TANK as the import facility")))</f>
        <v>Using the FACILITY TANK as the import facility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211"/>
    </row>
    <row r="29" spans="1:17" ht="15" customHeight="1" x14ac:dyDescent="0.3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176"/>
    </row>
    <row r="30" spans="1:17" ht="15" customHeight="1" thickBot="1" x14ac:dyDescent="0.35">
      <c r="A30" s="324" t="str">
        <f>IF(AND(I20="Marine Vessel",J25="Y",J26="Y"),"The motor fuel in each marine vessel compartment shall constitute a separate final blend.",IF(AND(I20="Cargo Tank Truck or Railcar",J25="Y",J26="Y"),"The motor fuel in each cargo tank truck or railcar compartment shall constitute a separate final blend.","The motor fuel in each California facility tank shall constitute a separate final blend."))</f>
        <v>The motor fuel in each California facility tank shall constitute a separate final blend.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212"/>
    </row>
    <row r="31" spans="1:17" ht="15" customHeight="1" thickTop="1" x14ac:dyDescent="0.35">
      <c r="A31" s="343" t="str">
        <f>IF(AND(I20="Marine Vessel",J25="Y",J26="Y"),"Marine Vessel",IF(AND(I20="Cargo Tank Truck or Railcar",J25="Y",J26="Y"),"Cargo Tank Truck or","California Facility"))</f>
        <v>California Facility</v>
      </c>
      <c r="B31" s="344"/>
      <c r="C31" s="344"/>
      <c r="D31" s="365">
        <f>IF(A31="California Facility",E44,H46)</f>
        <v>0</v>
      </c>
      <c r="E31" s="366"/>
      <c r="F31" s="366"/>
      <c r="G31" s="366"/>
      <c r="H31" s="363" t="str">
        <f>IF(A31="Marine Vessel", "(if available)"," ")</f>
        <v xml:space="preserve"> </v>
      </c>
      <c r="I31" s="364"/>
      <c r="J31" s="343" t="str">
        <f>IF(A28="Using the MARINE VESSEL as the Import Facility","Vol. in Compartment","Import Volume")</f>
        <v>Import Volume</v>
      </c>
      <c r="K31" s="367"/>
      <c r="L31" s="213"/>
    </row>
    <row r="32" spans="1:17" ht="15" customHeight="1" thickBot="1" x14ac:dyDescent="0.4">
      <c r="A32" s="345" t="str">
        <f>IF(AND(I20="Marine Vessel",J25="Y",J26="Y"),"Comparment ID",IF(AND(I20="Cargo Tank Truck or Railcar",J25="Y",J26="Y"),"Railcar ID No.","Tank ID"))</f>
        <v>Tank ID</v>
      </c>
      <c r="B32" s="346"/>
      <c r="C32" s="346"/>
      <c r="D32" s="369" t="str">
        <f>IF(A31="California Facility","n/a","Tank #")</f>
        <v>n/a</v>
      </c>
      <c r="E32" s="370"/>
      <c r="F32" s="371" t="s">
        <v>313</v>
      </c>
      <c r="G32" s="372"/>
      <c r="H32" s="371" t="s">
        <v>295</v>
      </c>
      <c r="I32" s="370"/>
      <c r="J32" s="345" t="str">
        <f>IF(A28="Using the CARGO TANK TRUCK or RAILCAR as the Import Facility","(gallons)","(bbl)")</f>
        <v>(bbl)</v>
      </c>
      <c r="K32" s="368"/>
      <c r="L32" s="213"/>
    </row>
    <row r="33" spans="1:16" ht="15" customHeight="1" thickTop="1" x14ac:dyDescent="0.35">
      <c r="A33" s="340"/>
      <c r="B33" s="341"/>
      <c r="C33" s="342"/>
      <c r="D33" s="340"/>
      <c r="E33" s="342"/>
      <c r="F33" s="340"/>
      <c r="G33" s="342"/>
      <c r="H33" s="340"/>
      <c r="I33" s="342"/>
      <c r="J33" s="375"/>
      <c r="K33" s="376"/>
      <c r="L33" s="213"/>
    </row>
    <row r="34" spans="1:16" ht="15" customHeight="1" x14ac:dyDescent="0.35">
      <c r="A34" s="326"/>
      <c r="B34" s="338"/>
      <c r="C34" s="327"/>
      <c r="D34" s="326"/>
      <c r="E34" s="327"/>
      <c r="F34" s="326"/>
      <c r="G34" s="327"/>
      <c r="H34" s="326"/>
      <c r="I34" s="327"/>
      <c r="J34" s="332"/>
      <c r="K34" s="333"/>
      <c r="L34" s="213"/>
    </row>
    <row r="35" spans="1:16" ht="15" customHeight="1" x14ac:dyDescent="0.35">
      <c r="A35" s="326"/>
      <c r="B35" s="338"/>
      <c r="C35" s="327"/>
      <c r="D35" s="326"/>
      <c r="E35" s="327"/>
      <c r="F35" s="326"/>
      <c r="G35" s="327"/>
      <c r="H35" s="326"/>
      <c r="I35" s="327"/>
      <c r="J35" s="332"/>
      <c r="K35" s="333"/>
      <c r="L35" s="213"/>
      <c r="N35" s="194"/>
      <c r="O35" s="194"/>
      <c r="P35" s="194"/>
    </row>
    <row r="36" spans="1:16" ht="15" customHeight="1" x14ac:dyDescent="0.35">
      <c r="A36" s="326"/>
      <c r="B36" s="338"/>
      <c r="C36" s="327"/>
      <c r="D36" s="326"/>
      <c r="E36" s="327"/>
      <c r="F36" s="326"/>
      <c r="G36" s="327"/>
      <c r="H36" s="326"/>
      <c r="I36" s="327"/>
      <c r="J36" s="332"/>
      <c r="K36" s="333"/>
      <c r="L36" s="213"/>
      <c r="N36" s="234"/>
      <c r="O36" s="234"/>
      <c r="P36" s="234"/>
    </row>
    <row r="37" spans="1:16" ht="15" customHeight="1" x14ac:dyDescent="0.35">
      <c r="A37" s="326"/>
      <c r="B37" s="338"/>
      <c r="C37" s="327"/>
      <c r="D37" s="326"/>
      <c r="E37" s="327"/>
      <c r="F37" s="326"/>
      <c r="G37" s="327"/>
      <c r="H37" s="326"/>
      <c r="I37" s="327"/>
      <c r="J37" s="332"/>
      <c r="K37" s="333"/>
      <c r="L37" s="213"/>
      <c r="N37" s="214"/>
      <c r="O37" s="194"/>
      <c r="P37" s="194"/>
    </row>
    <row r="38" spans="1:16" ht="15" customHeight="1" x14ac:dyDescent="0.35">
      <c r="A38" s="326"/>
      <c r="B38" s="338"/>
      <c r="C38" s="327"/>
      <c r="D38" s="326"/>
      <c r="E38" s="327"/>
      <c r="F38" s="326"/>
      <c r="G38" s="327"/>
      <c r="H38" s="326"/>
      <c r="I38" s="327"/>
      <c r="J38" s="332"/>
      <c r="K38" s="333"/>
      <c r="L38" s="213"/>
    </row>
    <row r="39" spans="1:16" ht="15" customHeight="1" thickBot="1" x14ac:dyDescent="0.4">
      <c r="A39" s="328"/>
      <c r="B39" s="355"/>
      <c r="C39" s="329"/>
      <c r="D39" s="328"/>
      <c r="E39" s="329"/>
      <c r="F39" s="328"/>
      <c r="G39" s="329"/>
      <c r="H39" s="328"/>
      <c r="I39" s="329"/>
      <c r="J39" s="334"/>
      <c r="K39" s="335"/>
      <c r="L39" s="213"/>
    </row>
    <row r="40" spans="1:16" ht="15" customHeight="1" thickTop="1" thickBot="1" x14ac:dyDescent="0.4">
      <c r="A40" s="350"/>
      <c r="B40" s="350"/>
      <c r="C40" s="350"/>
      <c r="D40" s="350"/>
      <c r="E40" s="350"/>
      <c r="F40" s="350"/>
      <c r="G40" s="353" t="s">
        <v>296</v>
      </c>
      <c r="H40" s="353"/>
      <c r="I40" s="354"/>
      <c r="J40" s="351">
        <f>SUM(J33:J39)</f>
        <v>0</v>
      </c>
      <c r="K40" s="352"/>
    </row>
    <row r="41" spans="1:16" ht="15" customHeight="1" thickTop="1" x14ac:dyDescent="0.25">
      <c r="A41" s="339"/>
      <c r="B41" s="248"/>
      <c r="C41" s="248"/>
      <c r="D41" s="248"/>
      <c r="E41" s="248"/>
      <c r="F41" s="248"/>
      <c r="G41" s="248"/>
      <c r="H41" s="248"/>
      <c r="I41" s="248"/>
      <c r="J41" s="248"/>
      <c r="K41" s="248"/>
    </row>
    <row r="42" spans="1:16" ht="15" customHeight="1" x14ac:dyDescent="0.35">
      <c r="A42" s="325" t="str">
        <f>IF(E9="Y","Estimated Arrival Date:","Start of transfer Date:")</f>
        <v>Start of transfer Date:</v>
      </c>
      <c r="B42" s="325"/>
      <c r="C42" s="248"/>
      <c r="D42" s="330"/>
      <c r="E42" s="330"/>
      <c r="F42" s="330"/>
      <c r="G42" s="298" t="str">
        <f>IF(E9="Y","Estimated arrival time:","Start of transfer time:")</f>
        <v>Start of transfer time:</v>
      </c>
      <c r="H42" s="298"/>
      <c r="I42" s="298"/>
      <c r="J42" s="357"/>
      <c r="K42" s="358"/>
    </row>
    <row r="43" spans="1:16" ht="15" customHeight="1" x14ac:dyDescent="0.25">
      <c r="A43" s="339"/>
      <c r="B43" s="248"/>
      <c r="C43" s="248"/>
      <c r="D43" s="248"/>
      <c r="E43" s="248"/>
      <c r="F43" s="248"/>
      <c r="G43" s="248"/>
      <c r="H43" s="248"/>
      <c r="I43" s="248"/>
      <c r="J43" s="248"/>
      <c r="K43" s="248"/>
    </row>
    <row r="44" spans="1:16" ht="15" customHeight="1" x14ac:dyDescent="0.35">
      <c r="A44" s="325" t="str">
        <f>IF(AND(I20="Marine Vessel",J25="Y",J26="Y"),"Name of the docking facility:",IF(AND(I20="Cargo Tank Truck or Railcar",J25="Y",J26="Y"),"Name of unloading facility:","Name of the CA facility:"))</f>
        <v>Name of the CA facility:</v>
      </c>
      <c r="B44" s="325"/>
      <c r="C44" s="325"/>
      <c r="D44" s="325"/>
      <c r="E44" s="292"/>
      <c r="F44" s="292"/>
      <c r="G44" s="292"/>
      <c r="H44" s="292"/>
      <c r="I44" s="292"/>
      <c r="J44" s="292"/>
      <c r="K44" s="292"/>
      <c r="L44" s="215"/>
    </row>
    <row r="45" spans="1:16" ht="15" customHeight="1" x14ac:dyDescent="0.35">
      <c r="A45" s="325" t="str">
        <f>IF(AND(I20="Marine Vessel",J25="Y",J26="Y"),"Physical address of the docking facility:",IF(AND(I20="Cargo Tank Truck or Railcar",J25="Y",J26="Y"),"Physical address of unloading facility:","Physical address of the CA facility:"))</f>
        <v>Physical address of the CA facility:</v>
      </c>
      <c r="B45" s="325"/>
      <c r="C45" s="325"/>
      <c r="D45" s="325"/>
      <c r="E45" s="248"/>
      <c r="F45" s="292"/>
      <c r="G45" s="292"/>
      <c r="H45" s="356"/>
      <c r="I45" s="356"/>
      <c r="J45" s="356"/>
      <c r="K45" s="356"/>
      <c r="L45" s="215"/>
    </row>
    <row r="46" spans="1:16" ht="15" customHeight="1" x14ac:dyDescent="0.35">
      <c r="A46" s="325" t="str">
        <f>IF(A44="Name of the docking facility:","Name of CA facility to which the fuel will be transfered:"," ")</f>
        <v xml:space="preserve"> </v>
      </c>
      <c r="B46" s="325"/>
      <c r="C46" s="325"/>
      <c r="D46" s="325"/>
      <c r="E46" s="325"/>
      <c r="F46" s="325"/>
      <c r="G46" s="325"/>
      <c r="H46" s="292"/>
      <c r="I46" s="297"/>
      <c r="J46" s="297"/>
      <c r="K46" s="297"/>
      <c r="L46" s="40"/>
    </row>
    <row r="47" spans="1:16" ht="15" customHeight="1" x14ac:dyDescent="0.35">
      <c r="A47" s="325" t="str">
        <f>IF(A44="Name of the docking facility:","Physical address of the CA facility:"," ")</f>
        <v xml:space="preserve"> </v>
      </c>
      <c r="B47" s="325"/>
      <c r="C47" s="248"/>
      <c r="D47" s="248"/>
      <c r="E47" s="248"/>
      <c r="F47" s="292"/>
      <c r="G47" s="292"/>
      <c r="H47" s="293"/>
      <c r="I47" s="293"/>
      <c r="J47" s="293"/>
      <c r="K47" s="293"/>
      <c r="L47" s="40"/>
    </row>
    <row r="48" spans="1:16" ht="15" customHeight="1" x14ac:dyDescent="0.3">
      <c r="A48" s="336" t="str">
        <f>A1</f>
        <v>Importer Name</v>
      </c>
      <c r="B48" s="336"/>
      <c r="C48" s="336"/>
      <c r="D48" s="336"/>
      <c r="E48" s="337" t="s">
        <v>317</v>
      </c>
      <c r="F48" s="337"/>
      <c r="G48" s="337"/>
      <c r="H48" s="337"/>
      <c r="I48" s="337"/>
      <c r="J48" s="337"/>
      <c r="K48" s="337"/>
      <c r="L48" s="217"/>
    </row>
    <row r="49" spans="1:12" ht="15" customHeight="1" x14ac:dyDescent="0.3">
      <c r="A49" s="331" t="s">
        <v>318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216"/>
    </row>
    <row r="50" spans="1:12" ht="15" customHeight="1" x14ac:dyDescent="0.25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28"/>
    </row>
    <row r="51" spans="1:12" ht="15.75" customHeight="1" x14ac:dyDescent="0.35">
      <c r="A51" s="359" t="s">
        <v>314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191"/>
    </row>
    <row r="52" spans="1:12" ht="15.75" customHeight="1" x14ac:dyDescent="0.3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</row>
    <row r="53" spans="1:12" ht="15.75" customHeight="1" x14ac:dyDescent="0.3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customHeight="1" x14ac:dyDescent="0.3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</row>
    <row r="55" spans="1:12" ht="15.75" customHeight="1" x14ac:dyDescent="0.3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</row>
    <row r="56" spans="1:12" ht="15.75" customHeight="1" x14ac:dyDescent="0.3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</row>
    <row r="57" spans="1:12" ht="15.75" customHeight="1" x14ac:dyDescent="0.25"/>
    <row r="58" spans="1:12" ht="15.75" customHeight="1" x14ac:dyDescent="0.25"/>
    <row r="59" spans="1:12" ht="15.75" customHeight="1" x14ac:dyDescent="0.25"/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sheetProtection password="F7A1" sheet="1" objects="1" scenarios="1"/>
  <mergeCells count="119">
    <mergeCell ref="A51:K51"/>
    <mergeCell ref="J14:K14"/>
    <mergeCell ref="E13:K13"/>
    <mergeCell ref="G15:I15"/>
    <mergeCell ref="F33:G33"/>
    <mergeCell ref="D33:E33"/>
    <mergeCell ref="H33:I33"/>
    <mergeCell ref="J16:K16"/>
    <mergeCell ref="H31:I31"/>
    <mergeCell ref="D31:G31"/>
    <mergeCell ref="J31:K31"/>
    <mergeCell ref="J32:K32"/>
    <mergeCell ref="D32:E32"/>
    <mergeCell ref="H32:I32"/>
    <mergeCell ref="F32:G32"/>
    <mergeCell ref="I23:K23"/>
    <mergeCell ref="B23:D23"/>
    <mergeCell ref="C17:K17"/>
    <mergeCell ref="A16:D16"/>
    <mergeCell ref="E23:H23"/>
    <mergeCell ref="F47:K47"/>
    <mergeCell ref="J33:K33"/>
    <mergeCell ref="F35:G35"/>
    <mergeCell ref="H46:K46"/>
    <mergeCell ref="A46:G46"/>
    <mergeCell ref="A40:F40"/>
    <mergeCell ref="A45:E45"/>
    <mergeCell ref="J35:K35"/>
    <mergeCell ref="F34:G34"/>
    <mergeCell ref="H34:I34"/>
    <mergeCell ref="A43:K43"/>
    <mergeCell ref="A35:C35"/>
    <mergeCell ref="A37:C37"/>
    <mergeCell ref="J40:K40"/>
    <mergeCell ref="H35:I35"/>
    <mergeCell ref="H37:I37"/>
    <mergeCell ref="H38:I38"/>
    <mergeCell ref="H39:I39"/>
    <mergeCell ref="G40:I40"/>
    <mergeCell ref="A38:C38"/>
    <mergeCell ref="A39:C39"/>
    <mergeCell ref="F45:K45"/>
    <mergeCell ref="E44:K44"/>
    <mergeCell ref="J42:K42"/>
    <mergeCell ref="J36:K36"/>
    <mergeCell ref="A21:H21"/>
    <mergeCell ref="J34:K34"/>
    <mergeCell ref="F37:G37"/>
    <mergeCell ref="F38:G38"/>
    <mergeCell ref="F39:G39"/>
    <mergeCell ref="A31:C31"/>
    <mergeCell ref="A32:C32"/>
    <mergeCell ref="I20:K20"/>
    <mergeCell ref="I21:K21"/>
    <mergeCell ref="A20:H20"/>
    <mergeCell ref="A26:I26"/>
    <mergeCell ref="A24:I24"/>
    <mergeCell ref="A25:I25"/>
    <mergeCell ref="A27:K27"/>
    <mergeCell ref="I22:K22"/>
    <mergeCell ref="A22:H22"/>
    <mergeCell ref="D36:E36"/>
    <mergeCell ref="F36:G36"/>
    <mergeCell ref="H36:I36"/>
    <mergeCell ref="A50:K50"/>
    <mergeCell ref="A28:K28"/>
    <mergeCell ref="A29:K29"/>
    <mergeCell ref="A30:K30"/>
    <mergeCell ref="A44:D44"/>
    <mergeCell ref="D37:E37"/>
    <mergeCell ref="D38:E38"/>
    <mergeCell ref="D39:E39"/>
    <mergeCell ref="D42:F42"/>
    <mergeCell ref="A49:K49"/>
    <mergeCell ref="J37:K37"/>
    <mergeCell ref="J38:K38"/>
    <mergeCell ref="J39:K39"/>
    <mergeCell ref="D34:E34"/>
    <mergeCell ref="D35:E35"/>
    <mergeCell ref="G42:I42"/>
    <mergeCell ref="A48:D48"/>
    <mergeCell ref="E48:K48"/>
    <mergeCell ref="A42:C42"/>
    <mergeCell ref="A34:C34"/>
    <mergeCell ref="A41:K41"/>
    <mergeCell ref="A47:E47"/>
    <mergeCell ref="A33:C33"/>
    <mergeCell ref="A36:C36"/>
    <mergeCell ref="A1:K1"/>
    <mergeCell ref="A2:K2"/>
    <mergeCell ref="A3:K3"/>
    <mergeCell ref="A4:K4"/>
    <mergeCell ref="A5:K5"/>
    <mergeCell ref="A7:K7"/>
    <mergeCell ref="J9:K9"/>
    <mergeCell ref="F8:K8"/>
    <mergeCell ref="A8:D8"/>
    <mergeCell ref="F9:I9"/>
    <mergeCell ref="A9:D9"/>
    <mergeCell ref="J6:K6"/>
    <mergeCell ref="D6:I6"/>
    <mergeCell ref="A6:B6"/>
    <mergeCell ref="A10:D10"/>
    <mergeCell ref="A19:K19"/>
    <mergeCell ref="F10:I10"/>
    <mergeCell ref="F11:I11"/>
    <mergeCell ref="G16:I16"/>
    <mergeCell ref="E16:F16"/>
    <mergeCell ref="A18:K18"/>
    <mergeCell ref="J10:K10"/>
    <mergeCell ref="A12:K12"/>
    <mergeCell ref="J15:K15"/>
    <mergeCell ref="J11:K11"/>
    <mergeCell ref="C15:F15"/>
    <mergeCell ref="A11:D11"/>
    <mergeCell ref="C13:D13"/>
    <mergeCell ref="A14:B14"/>
    <mergeCell ref="C14:D14"/>
    <mergeCell ref="E14:I14"/>
  </mergeCells>
  <phoneticPr fontId="3" type="noConversion"/>
  <dataValidations disablePrompts="1" count="2">
    <dataValidation type="list" allowBlank="1" showInputMessage="1" showErrorMessage="1" sqref="J25:J26 E9">
      <formula1>$K$24:$K$25</formula1>
    </dataValidation>
    <dataValidation type="list" allowBlank="1" showInputMessage="1" showErrorMessage="1" sqref="L20 I20">
      <formula1>$A$10:$A$11</formula1>
    </dataValidation>
  </dataValidations>
  <pageMargins left="1.1599999999999999" right="0.3" top="1.5" bottom="0.3" header="0" footer="0"/>
  <pageSetup scale="87" orientation="portrait" r:id="rId1"/>
  <headerFooter>
    <oddHeader xml:space="preserve">&amp;L
STATE OF CALIFORNIA
California Environmental Protection Agency
AIR RESOURCES BOARD
ED/FOB/FES-018 (REV 09/15)&amp;C
</oddHeader>
    <oddFooter>&amp;R&amp;9Page 1 of 2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zoomScale="75" zoomScaleNormal="75" workbookViewId="0">
      <selection sqref="A1:G1"/>
    </sheetView>
  </sheetViews>
  <sheetFormatPr defaultRowHeight="12.5" x14ac:dyDescent="0.25"/>
  <cols>
    <col min="1" max="1" width="23.453125" customWidth="1"/>
    <col min="2" max="2" width="14.26953125" customWidth="1"/>
    <col min="3" max="3" width="9.26953125" customWidth="1"/>
    <col min="4" max="4" width="7.26953125" customWidth="1"/>
    <col min="5" max="6" width="15.81640625" customWidth="1"/>
    <col min="7" max="7" width="16" customWidth="1"/>
    <col min="8" max="8" width="15" customWidth="1"/>
    <col min="9" max="9" width="7.54296875" customWidth="1"/>
  </cols>
  <sheetData>
    <row r="1" spans="1:8" ht="15" customHeight="1" x14ac:dyDescent="0.4">
      <c r="A1" s="404" t="str">
        <f>'Import Report'!A1</f>
        <v>Importer Name</v>
      </c>
      <c r="B1" s="405"/>
      <c r="C1" s="405"/>
      <c r="D1" s="405"/>
      <c r="E1" s="405"/>
      <c r="F1" s="405"/>
      <c r="G1" s="405"/>
      <c r="H1" s="109"/>
    </row>
    <row r="2" spans="1:8" ht="15" customHeight="1" x14ac:dyDescent="0.35">
      <c r="A2" s="406" t="str">
        <f>'Import Report'!A2</f>
        <v>Location</v>
      </c>
      <c r="B2" s="405"/>
      <c r="C2" s="405"/>
      <c r="D2" s="405"/>
      <c r="E2" s="405"/>
      <c r="F2" s="405"/>
      <c r="G2" s="405"/>
      <c r="H2" s="109"/>
    </row>
    <row r="3" spans="1:8" ht="15" customHeight="1" x14ac:dyDescent="0.35">
      <c r="A3" s="408"/>
      <c r="B3" s="262"/>
      <c r="C3" s="262"/>
      <c r="D3" s="262"/>
      <c r="E3" s="262"/>
      <c r="F3" s="262"/>
      <c r="G3" s="262"/>
      <c r="H3" s="110"/>
    </row>
    <row r="4" spans="1:8" ht="15" customHeight="1" x14ac:dyDescent="0.4">
      <c r="A4" s="407" t="s">
        <v>316</v>
      </c>
      <c r="B4" s="407"/>
      <c r="C4" s="407"/>
      <c r="D4" s="407"/>
      <c r="E4" s="407"/>
      <c r="F4" s="407"/>
      <c r="G4" s="407"/>
      <c r="H4" s="111"/>
    </row>
    <row r="5" spans="1:8" ht="15" customHeight="1" x14ac:dyDescent="0.35">
      <c r="A5" s="411"/>
      <c r="B5" s="411"/>
      <c r="C5" s="411"/>
      <c r="D5" s="411"/>
      <c r="E5" s="411"/>
      <c r="F5" s="411"/>
      <c r="G5" s="411"/>
      <c r="H5" s="112"/>
    </row>
    <row r="6" spans="1:8" ht="15" customHeight="1" x14ac:dyDescent="0.35">
      <c r="A6" s="113" t="s">
        <v>312</v>
      </c>
      <c r="B6" s="413"/>
      <c r="C6" s="413"/>
      <c r="D6" s="113" t="s">
        <v>237</v>
      </c>
      <c r="E6" s="414" t="s">
        <v>238</v>
      </c>
      <c r="F6" s="414"/>
      <c r="G6" s="262"/>
      <c r="H6" s="110"/>
    </row>
    <row r="7" spans="1:8" ht="15" customHeight="1" x14ac:dyDescent="0.35">
      <c r="A7" s="415"/>
      <c r="B7" s="262"/>
      <c r="C7" s="262"/>
      <c r="D7" s="262"/>
      <c r="E7" s="262"/>
      <c r="F7" s="262"/>
      <c r="G7" s="262"/>
      <c r="H7" s="110"/>
    </row>
    <row r="8" spans="1:8" ht="15" customHeight="1" thickBot="1" x14ac:dyDescent="0.4">
      <c r="A8" s="412"/>
      <c r="B8" s="262"/>
      <c r="C8" s="262"/>
      <c r="D8" s="262"/>
      <c r="E8" s="262"/>
      <c r="F8" s="262"/>
      <c r="G8" s="262"/>
      <c r="H8" s="114"/>
    </row>
    <row r="9" spans="1:8" ht="15" customHeight="1" thickTop="1" thickBot="1" x14ac:dyDescent="0.4">
      <c r="A9" s="218" t="str">
        <f>'Import Report'!A32</f>
        <v>Tank ID</v>
      </c>
      <c r="B9" s="409" t="str">
        <f>IF('Import Report'!A28="Using the CARGO TANK TRUCK or RAILCAR as the Import Facility","Est. vol.to be sold(gallons)","Est.vol. to be sold(bbl)")</f>
        <v>Est.vol. to be sold(bbl)</v>
      </c>
      <c r="C9" s="410"/>
      <c r="D9" s="416" t="str">
        <f>'Import Report'!A3</f>
        <v>FINAL</v>
      </c>
      <c r="E9" s="417"/>
      <c r="F9" s="418" t="s">
        <v>300</v>
      </c>
      <c r="G9" s="418"/>
      <c r="H9" s="114"/>
    </row>
    <row r="10" spans="1:8" ht="15" customHeight="1" thickTop="1" x14ac:dyDescent="0.35">
      <c r="A10" s="219">
        <f>'Import Report'!A33:C33</f>
        <v>0</v>
      </c>
      <c r="B10" s="419">
        <f>'Import Report'!J33</f>
        <v>0</v>
      </c>
      <c r="C10" s="419"/>
      <c r="D10" s="416" t="s">
        <v>305</v>
      </c>
      <c r="E10" s="417"/>
      <c r="F10" s="418">
        <f>IF('Import Report'!A3="FIRST",'Import Report'!J9,'Import Report'!J11)</f>
        <v>0</v>
      </c>
      <c r="G10" s="418"/>
      <c r="H10" s="114"/>
    </row>
    <row r="11" spans="1:8" ht="15" customHeight="1" x14ac:dyDescent="0.35">
      <c r="A11" s="219">
        <f>'Import Report'!A34:C34</f>
        <v>0</v>
      </c>
      <c r="B11" s="449">
        <f>'Import Report'!J34</f>
        <v>0</v>
      </c>
      <c r="C11" s="450"/>
      <c r="D11" s="416"/>
      <c r="E11" s="417"/>
      <c r="F11" s="418"/>
      <c r="G11" s="418"/>
      <c r="H11" s="114"/>
    </row>
    <row r="12" spans="1:8" ht="15" customHeight="1" x14ac:dyDescent="0.35">
      <c r="A12" s="219">
        <f>'Import Report'!A35:C35</f>
        <v>0</v>
      </c>
      <c r="B12" s="419">
        <f>'Import Report'!J35</f>
        <v>0</v>
      </c>
      <c r="C12" s="419"/>
      <c r="D12" s="416"/>
      <c r="E12" s="417"/>
      <c r="F12" s="418"/>
      <c r="G12" s="418"/>
      <c r="H12" s="114"/>
    </row>
    <row r="13" spans="1:8" ht="15" customHeight="1" x14ac:dyDescent="0.35">
      <c r="A13" s="219">
        <f>'Import Report'!A36:C36</f>
        <v>0</v>
      </c>
      <c r="B13" s="449">
        <f>'Import Report'!J36</f>
        <v>0</v>
      </c>
      <c r="C13" s="450"/>
      <c r="D13" s="235"/>
      <c r="E13" s="236"/>
      <c r="F13" s="237"/>
      <c r="G13" s="237"/>
      <c r="H13" s="114"/>
    </row>
    <row r="14" spans="1:8" ht="15" customHeight="1" x14ac:dyDescent="0.35">
      <c r="A14" s="219">
        <f>'Import Report'!A37:C37</f>
        <v>0</v>
      </c>
      <c r="B14" s="419">
        <f>'Import Report'!J37</f>
        <v>0</v>
      </c>
      <c r="C14" s="419"/>
      <c r="D14" s="416" t="s">
        <v>302</v>
      </c>
      <c r="E14" s="417"/>
      <c r="F14" s="425">
        <f>'Import Report'!E16</f>
        <v>0</v>
      </c>
      <c r="G14" s="425"/>
      <c r="H14" s="114"/>
    </row>
    <row r="15" spans="1:8" ht="15" customHeight="1" x14ac:dyDescent="0.35">
      <c r="A15" s="219">
        <f>'Import Report'!A38:C38</f>
        <v>0</v>
      </c>
      <c r="B15" s="419">
        <f>'Import Report'!J38</f>
        <v>0</v>
      </c>
      <c r="C15" s="419"/>
      <c r="D15" s="416" t="s">
        <v>303</v>
      </c>
      <c r="E15" s="417"/>
      <c r="F15" s="424">
        <f>'Import Report'!J16</f>
        <v>0</v>
      </c>
      <c r="G15" s="424"/>
      <c r="H15" s="114"/>
    </row>
    <row r="16" spans="1:8" ht="15" customHeight="1" thickBot="1" x14ac:dyDescent="0.4">
      <c r="A16" s="220">
        <f>'Import Report'!A39:C39</f>
        <v>0</v>
      </c>
      <c r="B16" s="448">
        <f>'Import Report'!J39</f>
        <v>0</v>
      </c>
      <c r="C16" s="448"/>
      <c r="D16" s="416" t="s">
        <v>301</v>
      </c>
      <c r="E16" s="417"/>
      <c r="F16" s="425">
        <f>'Import Report'!D42</f>
        <v>0</v>
      </c>
      <c r="G16" s="425"/>
      <c r="H16" s="114"/>
    </row>
    <row r="17" spans="1:15" ht="15" customHeight="1" thickTop="1" thickBot="1" x14ac:dyDescent="0.4">
      <c r="A17" s="177" t="s">
        <v>299</v>
      </c>
      <c r="B17" s="429">
        <f>'Import Report'!J40</f>
        <v>0</v>
      </c>
      <c r="C17" s="430"/>
      <c r="D17" s="416" t="s">
        <v>304</v>
      </c>
      <c r="E17" s="417"/>
      <c r="F17" s="424">
        <f>'Import Report'!J42</f>
        <v>0</v>
      </c>
      <c r="G17" s="424"/>
      <c r="H17" s="114"/>
    </row>
    <row r="18" spans="1:15" ht="15" customHeight="1" thickTop="1" thickBot="1" x14ac:dyDescent="0.4">
      <c r="A18" s="412"/>
      <c r="B18" s="262"/>
      <c r="C18" s="262"/>
      <c r="D18" s="262"/>
      <c r="E18" s="262"/>
      <c r="F18" s="262"/>
      <c r="G18" s="262"/>
      <c r="H18" s="114"/>
    </row>
    <row r="19" spans="1:15" ht="15" customHeight="1" thickTop="1" x14ac:dyDescent="0.35">
      <c r="A19" s="446" t="s">
        <v>307</v>
      </c>
      <c r="B19" s="262"/>
      <c r="C19" s="262"/>
      <c r="D19" s="262"/>
      <c r="E19" s="386"/>
      <c r="F19" s="443" t="str">
        <f>'Phase 3 PM for PM Flat'!E28</f>
        <v/>
      </c>
      <c r="G19" s="427"/>
      <c r="H19" s="117"/>
      <c r="K19" s="115"/>
      <c r="L19" s="115"/>
      <c r="M19" s="115"/>
      <c r="N19" s="115"/>
      <c r="O19" s="115"/>
    </row>
    <row r="20" spans="1:15" ht="15" customHeight="1" x14ac:dyDescent="0.35">
      <c r="A20" s="447" t="s">
        <v>308</v>
      </c>
      <c r="B20" s="262"/>
      <c r="C20" s="262"/>
      <c r="D20" s="262"/>
      <c r="E20" s="386"/>
      <c r="F20" s="444" t="str">
        <f>IF('Phase 3 PM for PM Flat'!E28="","",IF('Phase 3 PM for PM Flat'!E28="RVP controlled gasoline.","ON","OFF"))</f>
        <v/>
      </c>
      <c r="G20" s="386"/>
      <c r="H20" s="117"/>
    </row>
    <row r="21" spans="1:15" ht="15" customHeight="1" x14ac:dyDescent="0.35">
      <c r="A21" s="421" t="s">
        <v>242</v>
      </c>
      <c r="B21" s="262"/>
      <c r="C21" s="262"/>
      <c r="D21" s="262"/>
      <c r="E21" s="386"/>
      <c r="F21" s="444">
        <f>'Phase 3 PM for PM Flat'!E31</f>
        <v>0</v>
      </c>
      <c r="G21" s="386"/>
      <c r="H21" s="117"/>
    </row>
    <row r="22" spans="1:15" ht="15" customHeight="1" x14ac:dyDescent="0.35">
      <c r="A22" s="411" t="s">
        <v>243</v>
      </c>
      <c r="B22" s="262"/>
      <c r="C22" s="262"/>
      <c r="D22" s="262"/>
      <c r="E22" s="386"/>
      <c r="F22" s="444">
        <f>IF('Phase 3 PM for PM Flat'!E31="N"," ",'Phase 3 PM for PM Flat'!E32)</f>
        <v>0</v>
      </c>
      <c r="G22" s="386"/>
      <c r="H22" s="117"/>
    </row>
    <row r="23" spans="1:15" ht="15" customHeight="1" x14ac:dyDescent="0.35">
      <c r="A23" s="411" t="s">
        <v>244</v>
      </c>
      <c r="B23" s="262"/>
      <c r="C23" s="262"/>
      <c r="D23" s="262"/>
      <c r="E23" s="386"/>
      <c r="F23" s="444">
        <f>IF('Phase 3 PM for PM Flat'!E31="N"," ",'Phase 3 PM for PM Flat'!E33)</f>
        <v>0</v>
      </c>
      <c r="G23" s="386"/>
      <c r="H23" s="117"/>
    </row>
    <row r="24" spans="1:15" ht="15" customHeight="1" thickBot="1" x14ac:dyDescent="0.4">
      <c r="A24" s="440" t="s">
        <v>245</v>
      </c>
      <c r="B24" s="441"/>
      <c r="C24" s="441"/>
      <c r="D24" s="441"/>
      <c r="E24" s="442"/>
      <c r="F24" s="445">
        <f>IF('Phase 3 PM for PM Flat'!E31="N"," ",'Phase 3 PM for PM Flat'!E34)</f>
        <v>0</v>
      </c>
      <c r="G24" s="442"/>
      <c r="H24" s="117"/>
    </row>
    <row r="25" spans="1:15" ht="15" customHeight="1" thickTop="1" x14ac:dyDescent="0.35">
      <c r="A25" s="118" t="s">
        <v>246</v>
      </c>
      <c r="B25" s="119" t="s">
        <v>247</v>
      </c>
      <c r="C25" s="426" t="str">
        <f>IF(AND(F21="Y",F24="Y"),"Default(ETOH)"," ")</f>
        <v xml:space="preserve"> </v>
      </c>
      <c r="D25" s="458"/>
      <c r="E25" s="119" t="str">
        <f>IF(AND(F21="Y",F24="N"),"Oxygenate"," ")</f>
        <v xml:space="preserve"> </v>
      </c>
      <c r="F25" s="426" t="s">
        <v>248</v>
      </c>
      <c r="G25" s="427"/>
      <c r="H25" s="117"/>
    </row>
    <row r="26" spans="1:15" ht="15" customHeight="1" x14ac:dyDescent="0.35">
      <c r="A26" s="120" t="s">
        <v>249</v>
      </c>
      <c r="B26" s="121" t="s">
        <v>250</v>
      </c>
      <c r="C26" s="433" t="str">
        <f>IF(AND(F21="Y",F24="Y"),"Prop. Values"," ")</f>
        <v xml:space="preserve"> </v>
      </c>
      <c r="D26" s="437"/>
      <c r="E26" s="121" t="str">
        <f>IF(AND(F21="Y",F24="N"),"Prop. Values"," ")</f>
        <v xml:space="preserve"> </v>
      </c>
      <c r="F26" s="433" t="s">
        <v>251</v>
      </c>
      <c r="G26" s="434"/>
      <c r="H26" s="117"/>
    </row>
    <row r="27" spans="1:15" ht="15" customHeight="1" x14ac:dyDescent="0.35">
      <c r="A27" s="222" t="str">
        <f>'Phase 3 PM for PM Flat'!A43</f>
        <v>RVP</v>
      </c>
      <c r="B27" s="122" t="s">
        <v>252</v>
      </c>
      <c r="C27" s="435" t="str">
        <f>IF(AND(F21="Y",F24="Y"),"n/a"," ")</f>
        <v xml:space="preserve"> </v>
      </c>
      <c r="D27" s="436"/>
      <c r="E27" s="123" t="str">
        <f>IF(AND(F21="Y",F24="N"),"n/a"," ")</f>
        <v xml:space="preserve"> </v>
      </c>
      <c r="F27" s="379" t="str">
        <f>IF(F20="ON",IF(F19="RVP controlled gasoline.",'Phase 3 PM for PM Flat'!B43,"Error"),IF(F19="RVP controlled gasoline.",'Phase 3 PM for PM Flat'!B43,"Not Regulated by ARB"))</f>
        <v>Not Regulated by ARB</v>
      </c>
      <c r="G27" s="386"/>
      <c r="H27" s="117"/>
    </row>
    <row r="28" spans="1:15" ht="15" customHeight="1" x14ac:dyDescent="0.35">
      <c r="A28" s="240" t="s">
        <v>319</v>
      </c>
      <c r="B28" s="125" t="str">
        <f>'Phase 3 PM for PM Flat'!B19</f>
        <v>F</v>
      </c>
      <c r="C28" s="438" t="str">
        <f>IF(AND(F21="Y",F24="Y"),"1.7"," ")</f>
        <v xml:space="preserve"> </v>
      </c>
      <c r="D28" s="439"/>
      <c r="E28" s="126" t="str">
        <f>IF(AND(F21="Y",F24="N"),'Phase 3 PM for PM Flat'!E37," ")</f>
        <v xml:space="preserve"> </v>
      </c>
      <c r="F28" s="438">
        <f>'Phase 3 PM for PM Flat'!B46</f>
        <v>0</v>
      </c>
      <c r="G28" s="386"/>
      <c r="H28" s="117"/>
    </row>
    <row r="29" spans="1:15" ht="15" customHeight="1" x14ac:dyDescent="0.35">
      <c r="A29" s="240" t="s">
        <v>320</v>
      </c>
      <c r="B29" s="125" t="str">
        <f>'Phase 3 PM for PM Flat'!B22</f>
        <v>F</v>
      </c>
      <c r="C29" s="379" t="str">
        <f>IF(AND(F21="Y",F24="Y"),"0.06"," ")</f>
        <v xml:space="preserve"> </v>
      </c>
      <c r="D29" s="381"/>
      <c r="E29" s="127" t="str">
        <f>IF(AND(F21="Y",F24="N"),'Phase 3 PM for PM Flat'!E38," ")</f>
        <v xml:space="preserve"> </v>
      </c>
      <c r="F29" s="379">
        <f>'Phase 3 PM for PM Flat'!B51</f>
        <v>0</v>
      </c>
      <c r="G29" s="386"/>
      <c r="H29" s="117"/>
    </row>
    <row r="30" spans="1:15" ht="15" customHeight="1" x14ac:dyDescent="0.35">
      <c r="A30" s="240" t="s">
        <v>321</v>
      </c>
      <c r="B30" s="125" t="str">
        <f>'Phase 3 PM for PM Flat'!B20</f>
        <v>F</v>
      </c>
      <c r="C30" s="438" t="str">
        <f>IF(AND(F21="Y",F24="Y"),"0.5"," ")</f>
        <v xml:space="preserve"> </v>
      </c>
      <c r="D30" s="439"/>
      <c r="E30" s="126" t="str">
        <f>IF(AND(F21="Y",F24="N"),'Phase 3 PM for PM Flat'!E39," ")</f>
        <v xml:space="preserve"> </v>
      </c>
      <c r="F30" s="438">
        <f>'Phase 3 PM for PM Flat'!B47</f>
        <v>0</v>
      </c>
      <c r="G30" s="386"/>
      <c r="H30" s="117"/>
    </row>
    <row r="31" spans="1:15" ht="15" customHeight="1" x14ac:dyDescent="0.35">
      <c r="A31" s="240" t="s">
        <v>322</v>
      </c>
      <c r="B31" s="125" t="str">
        <f>'Phase 3 PM for PM Flat'!B21</f>
        <v>F</v>
      </c>
      <c r="C31" s="422" t="str">
        <f>IF(AND(F21="Y",F24="Y"),"10"," ")</f>
        <v xml:space="preserve"> </v>
      </c>
      <c r="D31" s="423"/>
      <c r="E31" s="128" t="str">
        <f>IF(AND(F21="Y",F24="N"),'Phase 3 PM for PM Flat'!E40," ")</f>
        <v xml:space="preserve"> </v>
      </c>
      <c r="F31" s="422">
        <f>'Phase 3 PM for PM Flat'!B50</f>
        <v>0</v>
      </c>
      <c r="G31" s="386"/>
      <c r="H31" s="117"/>
    </row>
    <row r="32" spans="1:15" ht="15" customHeight="1" x14ac:dyDescent="0.35">
      <c r="A32" s="124" t="s">
        <v>257</v>
      </c>
      <c r="B32" s="125" t="str">
        <f>'Phase 3 PM for PM Flat'!B17</f>
        <v>F</v>
      </c>
      <c r="C32" s="387" t="str">
        <f>IF(AND(F21="Y",F24="Y"),"n/a"," ")</f>
        <v xml:space="preserve"> </v>
      </c>
      <c r="D32" s="388"/>
      <c r="E32" s="129" t="str">
        <f>IF(AND(F21="Y",F24="N"),"n/a"," ")</f>
        <v xml:space="preserve"> </v>
      </c>
      <c r="F32" s="422">
        <f>'Phase 3 PM for PM Flat'!B44</f>
        <v>0</v>
      </c>
      <c r="G32" s="386"/>
      <c r="H32" s="117"/>
      <c r="K32" s="130"/>
    </row>
    <row r="33" spans="1:13" ht="15" customHeight="1" x14ac:dyDescent="0.35">
      <c r="A33" s="124" t="s">
        <v>258</v>
      </c>
      <c r="B33" s="125" t="str">
        <f>'Phase 3 PM for PM Flat'!B18</f>
        <v>F</v>
      </c>
      <c r="C33" s="387" t="str">
        <f>IF(AND(F21="Y",F24="Y"),"n/a"," ")</f>
        <v xml:space="preserve"> </v>
      </c>
      <c r="D33" s="388"/>
      <c r="E33" s="129" t="str">
        <f>IF(AND(F21="Y",F24="N"),"n/a"," ")</f>
        <v xml:space="preserve"> </v>
      </c>
      <c r="F33" s="455">
        <f>'Phase 3 PM for PM Flat'!B45</f>
        <v>0</v>
      </c>
      <c r="G33" s="434"/>
      <c r="H33" s="117"/>
    </row>
    <row r="34" spans="1:13" ht="15" customHeight="1" x14ac:dyDescent="0.4">
      <c r="A34" s="124"/>
      <c r="B34" s="121"/>
      <c r="C34" s="389"/>
      <c r="D34" s="390"/>
      <c r="E34" s="121"/>
      <c r="F34" s="131" t="s">
        <v>259</v>
      </c>
      <c r="G34" s="132" t="s">
        <v>260</v>
      </c>
      <c r="H34" s="133"/>
    </row>
    <row r="35" spans="1:13" ht="15" customHeight="1" thickBot="1" x14ac:dyDescent="0.4">
      <c r="A35" s="240" t="s">
        <v>323</v>
      </c>
      <c r="B35" s="121" t="s">
        <v>252</v>
      </c>
      <c r="C35" s="387" t="str">
        <f>IF(AND(F21="Y",F24="Y"),"n/a"," ")</f>
        <v xml:space="preserve"> </v>
      </c>
      <c r="D35" s="388"/>
      <c r="E35" s="129" t="str">
        <f>IF(AND(F21="Y",F24="N"),"n/a"," ")</f>
        <v xml:space="preserve"> </v>
      </c>
      <c r="F35" s="126">
        <f>'Phase 3 PM for PM Flat'!B49</f>
        <v>0</v>
      </c>
      <c r="G35" s="134">
        <f>'Phase 3 PM for PM Flat'!C49</f>
        <v>0</v>
      </c>
      <c r="H35" s="135"/>
    </row>
    <row r="36" spans="1:13" ht="15" customHeight="1" thickTop="1" thickBot="1" x14ac:dyDescent="0.4">
      <c r="A36" s="420"/>
      <c r="B36" s="420"/>
      <c r="C36" s="420"/>
      <c r="D36" s="420"/>
      <c r="E36" s="420"/>
      <c r="F36" s="420"/>
      <c r="G36" s="420"/>
      <c r="H36" s="116"/>
    </row>
    <row r="37" spans="1:13" ht="15" customHeight="1" thickTop="1" x14ac:dyDescent="0.35">
      <c r="A37" s="451" t="s">
        <v>253</v>
      </c>
      <c r="B37" s="452"/>
      <c r="C37" s="431" t="s">
        <v>254</v>
      </c>
      <c r="D37" s="431"/>
      <c r="E37" s="431"/>
      <c r="F37" s="431"/>
      <c r="G37" s="432"/>
      <c r="H37" s="133"/>
    </row>
    <row r="38" spans="1:13" ht="15" customHeight="1" x14ac:dyDescent="0.4">
      <c r="A38" s="456" t="s">
        <v>255</v>
      </c>
      <c r="B38" s="457"/>
      <c r="C38" s="428" t="s">
        <v>261</v>
      </c>
      <c r="D38" s="428"/>
      <c r="E38" s="428"/>
      <c r="F38" s="453" t="s">
        <v>278</v>
      </c>
      <c r="G38" s="454"/>
      <c r="H38" s="117"/>
      <c r="M38" s="136"/>
    </row>
    <row r="39" spans="1:13" ht="15" customHeight="1" x14ac:dyDescent="0.35">
      <c r="A39" s="377" t="s">
        <v>279</v>
      </c>
      <c r="B39" s="378"/>
      <c r="C39" s="379">
        <f>'Phase 3 PM for PM Flat'!E80</f>
        <v>14.69403491380872</v>
      </c>
      <c r="D39" s="380"/>
      <c r="E39" s="381"/>
      <c r="F39" s="379">
        <f>'Phase 3 PM for PM Flat'!E67</f>
        <v>14.69403491380872</v>
      </c>
      <c r="G39" s="382"/>
      <c r="H39" s="117"/>
    </row>
    <row r="40" spans="1:13" ht="15" customHeight="1" x14ac:dyDescent="0.35">
      <c r="A40" s="377" t="s">
        <v>280</v>
      </c>
      <c r="B40" s="378"/>
      <c r="C40" s="379" t="str">
        <f>IF('Phase 3 PM for PM Flat'!E28="Non-RVP controlled gasoline.",'Phase 3 PM for PM Flat'!E81,"n/a")</f>
        <v>n/a</v>
      </c>
      <c r="D40" s="380"/>
      <c r="E40" s="381"/>
      <c r="F40" s="379" t="str">
        <f>IF('Phase 3 PM for PM Flat'!E28="Non-RVP controlled gasoline.",'Phase 3 PM for PM Flat'!E68,"n/a")</f>
        <v>n/a</v>
      </c>
      <c r="G40" s="382"/>
      <c r="H40" s="117"/>
    </row>
    <row r="41" spans="1:13" ht="15" customHeight="1" x14ac:dyDescent="0.35">
      <c r="A41" s="377" t="s">
        <v>281</v>
      </c>
      <c r="B41" s="378"/>
      <c r="C41" s="379" t="str">
        <f>IF('Phase 3 PM for PM Flat'!E28="RVP controlled gasoline.",'Phase 3 PM for PM Flat'!E84,"n/a")</f>
        <v>n/a</v>
      </c>
      <c r="D41" s="380"/>
      <c r="E41" s="381"/>
      <c r="F41" s="379" t="str">
        <f>IF('Phase 3 PM for PM Flat'!E28="RVP controlled gasoline.",'Phase 3 PM for PM Flat'!E71,"n/a")</f>
        <v>n/a</v>
      </c>
      <c r="G41" s="382"/>
      <c r="H41" s="117"/>
    </row>
    <row r="42" spans="1:13" ht="15" customHeight="1" thickBot="1" x14ac:dyDescent="0.4">
      <c r="A42" s="402" t="s">
        <v>282</v>
      </c>
      <c r="B42" s="403"/>
      <c r="C42" s="383">
        <f>'Phase 3 PM for PM Flat'!E85</f>
        <v>-77.363324653531635</v>
      </c>
      <c r="D42" s="384"/>
      <c r="E42" s="385"/>
      <c r="F42" s="383">
        <f>'Phase 3 PM for PM Flat'!E72</f>
        <v>-77.363324653531635</v>
      </c>
      <c r="G42" s="394"/>
    </row>
    <row r="43" spans="1:13" ht="15" customHeight="1" thickTop="1" x14ac:dyDescent="0.3">
      <c r="A43" s="398"/>
      <c r="B43" s="399"/>
      <c r="C43" s="399"/>
      <c r="D43" s="399"/>
      <c r="E43" s="399"/>
      <c r="F43" s="399"/>
      <c r="G43" s="399"/>
    </row>
    <row r="44" spans="1:13" ht="15" customHeight="1" x14ac:dyDescent="0.4">
      <c r="A44" s="238" t="s">
        <v>256</v>
      </c>
      <c r="B44" s="137" t="str">
        <f>'Phase 3 PM for PM Flat'!B55</f>
        <v>FAILS</v>
      </c>
      <c r="C44" s="400" t="s">
        <v>315</v>
      </c>
      <c r="D44" s="400"/>
      <c r="E44" s="400"/>
      <c r="F44" s="400"/>
      <c r="G44" s="400"/>
      <c r="H44" s="117"/>
      <c r="I44" s="138"/>
      <c r="J44" s="138"/>
      <c r="K44" s="138"/>
    </row>
    <row r="45" spans="1:13" ht="15" customHeight="1" x14ac:dyDescent="0.3">
      <c r="A45" s="239" t="s">
        <v>275</v>
      </c>
      <c r="B45" s="395" t="str">
        <f>'Phase 3 PM for PM Flat'!D56</f>
        <v>GREATER THAN OR EQUAL TO 0.05%  for  NOx, or EXH THC, or OFP, or PWT.</v>
      </c>
      <c r="C45" s="396"/>
      <c r="D45" s="396"/>
      <c r="E45" s="396"/>
      <c r="F45" s="396"/>
      <c r="G45" s="396"/>
      <c r="H45" s="160"/>
      <c r="I45" s="138"/>
      <c r="J45" s="138"/>
      <c r="K45" s="139"/>
    </row>
    <row r="46" spans="1:13" ht="15" customHeight="1" x14ac:dyDescent="0.25">
      <c r="A46" s="393"/>
      <c r="B46" s="262"/>
      <c r="C46" s="262"/>
      <c r="D46" s="262"/>
      <c r="E46" s="262"/>
      <c r="F46" s="262"/>
      <c r="G46" s="262"/>
      <c r="H46" s="110"/>
      <c r="I46" s="139"/>
      <c r="J46" s="139"/>
      <c r="K46" s="139"/>
    </row>
    <row r="47" spans="1:13" ht="15" customHeight="1" x14ac:dyDescent="0.3">
      <c r="A47" s="401" t="str">
        <f>A1</f>
        <v>Importer Name</v>
      </c>
      <c r="B47" s="401"/>
      <c r="C47" s="397" t="s">
        <v>276</v>
      </c>
      <c r="D47" s="397"/>
      <c r="E47" s="397"/>
      <c r="F47" s="397"/>
      <c r="G47" s="397"/>
      <c r="H47" s="110"/>
    </row>
    <row r="48" spans="1:13" ht="15" customHeight="1" x14ac:dyDescent="0.3">
      <c r="A48" s="391" t="s">
        <v>277</v>
      </c>
      <c r="B48" s="392"/>
      <c r="C48" s="392"/>
      <c r="D48" s="392"/>
      <c r="E48" s="392"/>
      <c r="F48" s="392"/>
      <c r="G48" s="392"/>
      <c r="H48" s="140"/>
    </row>
    <row r="49" spans="1:7" ht="15" customHeight="1" x14ac:dyDescent="0.25">
      <c r="A49" s="262"/>
      <c r="B49" s="262"/>
      <c r="C49" s="262"/>
      <c r="D49" s="262"/>
      <c r="E49" s="262"/>
      <c r="F49" s="262"/>
      <c r="G49" s="262"/>
    </row>
    <row r="50" spans="1:7" ht="15" customHeight="1" x14ac:dyDescent="0.3">
      <c r="A50" s="359" t="str">
        <f>'Import Report'!A51:K51</f>
        <v>This form complies with the CaRFG regulations reflecting amendments effective October 9, 2012.</v>
      </c>
      <c r="B50" s="359"/>
      <c r="C50" s="359"/>
      <c r="D50" s="359"/>
      <c r="E50" s="359"/>
      <c r="F50" s="359"/>
      <c r="G50" s="359"/>
    </row>
    <row r="51" spans="1:7" ht="15" customHeight="1" x14ac:dyDescent="0.25"/>
    <row r="52" spans="1:7" ht="15" customHeight="1" x14ac:dyDescent="0.25">
      <c r="A52" s="233"/>
      <c r="B52" s="232"/>
      <c r="C52" s="232"/>
      <c r="D52" s="232"/>
      <c r="E52" s="232"/>
      <c r="F52" s="232"/>
    </row>
    <row r="53" spans="1:7" ht="15" customHeight="1" x14ac:dyDescent="0.25"/>
    <row r="54" spans="1:7" ht="15" customHeight="1" x14ac:dyDescent="0.25"/>
    <row r="55" spans="1:7" ht="15" customHeight="1" x14ac:dyDescent="0.25"/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sheetProtection password="F7A1" sheet="1" objects="1" scenarios="1"/>
  <mergeCells count="94">
    <mergeCell ref="B13:C13"/>
    <mergeCell ref="A49:G49"/>
    <mergeCell ref="B11:C11"/>
    <mergeCell ref="A50:G50"/>
    <mergeCell ref="C32:D32"/>
    <mergeCell ref="A37:B37"/>
    <mergeCell ref="D15:E15"/>
    <mergeCell ref="A18:G18"/>
    <mergeCell ref="F15:G15"/>
    <mergeCell ref="F16:G16"/>
    <mergeCell ref="C30:D30"/>
    <mergeCell ref="F38:G38"/>
    <mergeCell ref="F32:G32"/>
    <mergeCell ref="F33:G33"/>
    <mergeCell ref="A38:B38"/>
    <mergeCell ref="C25:D25"/>
    <mergeCell ref="D16:E16"/>
    <mergeCell ref="A24:E24"/>
    <mergeCell ref="F19:G19"/>
    <mergeCell ref="F20:G20"/>
    <mergeCell ref="F21:G21"/>
    <mergeCell ref="F22:G22"/>
    <mergeCell ref="F23:G23"/>
    <mergeCell ref="F24:G24"/>
    <mergeCell ref="A19:E19"/>
    <mergeCell ref="A20:E20"/>
    <mergeCell ref="B16:C16"/>
    <mergeCell ref="F25:G25"/>
    <mergeCell ref="A22:E22"/>
    <mergeCell ref="A23:E23"/>
    <mergeCell ref="C38:E38"/>
    <mergeCell ref="B17:C17"/>
    <mergeCell ref="D17:E17"/>
    <mergeCell ref="C33:D33"/>
    <mergeCell ref="C37:G37"/>
    <mergeCell ref="F31:G31"/>
    <mergeCell ref="F26:G26"/>
    <mergeCell ref="C27:D27"/>
    <mergeCell ref="C26:D26"/>
    <mergeCell ref="F27:G27"/>
    <mergeCell ref="F30:G30"/>
    <mergeCell ref="F28:G28"/>
    <mergeCell ref="C28:D28"/>
    <mergeCell ref="B10:C10"/>
    <mergeCell ref="A36:G36"/>
    <mergeCell ref="A21:E21"/>
    <mergeCell ref="C31:D31"/>
    <mergeCell ref="D12:E12"/>
    <mergeCell ref="F17:G17"/>
    <mergeCell ref="F10:G10"/>
    <mergeCell ref="F12:G12"/>
    <mergeCell ref="F14:G14"/>
    <mergeCell ref="F11:G11"/>
    <mergeCell ref="D10:E10"/>
    <mergeCell ref="B14:C14"/>
    <mergeCell ref="B15:C15"/>
    <mergeCell ref="D14:E14"/>
    <mergeCell ref="D11:E11"/>
    <mergeCell ref="B12:C12"/>
    <mergeCell ref="A1:G1"/>
    <mergeCell ref="A2:G2"/>
    <mergeCell ref="A4:G4"/>
    <mergeCell ref="A3:G3"/>
    <mergeCell ref="B9:C9"/>
    <mergeCell ref="A5:G5"/>
    <mergeCell ref="A8:G8"/>
    <mergeCell ref="B6:C6"/>
    <mergeCell ref="E6:G6"/>
    <mergeCell ref="A7:G7"/>
    <mergeCell ref="D9:E9"/>
    <mergeCell ref="F9:G9"/>
    <mergeCell ref="F29:G29"/>
    <mergeCell ref="C29:D29"/>
    <mergeCell ref="C35:D35"/>
    <mergeCell ref="C34:D34"/>
    <mergeCell ref="A48:G48"/>
    <mergeCell ref="A46:G46"/>
    <mergeCell ref="F42:G42"/>
    <mergeCell ref="B45:G45"/>
    <mergeCell ref="C47:G47"/>
    <mergeCell ref="A43:G43"/>
    <mergeCell ref="C44:G44"/>
    <mergeCell ref="A47:B47"/>
    <mergeCell ref="A41:B41"/>
    <mergeCell ref="A42:B42"/>
    <mergeCell ref="F39:G39"/>
    <mergeCell ref="A39:B39"/>
    <mergeCell ref="A40:B40"/>
    <mergeCell ref="C39:E39"/>
    <mergeCell ref="F41:G41"/>
    <mergeCell ref="F40:G40"/>
    <mergeCell ref="C42:E42"/>
    <mergeCell ref="C41:E41"/>
    <mergeCell ref="C40:E40"/>
  </mergeCells>
  <phoneticPr fontId="3" type="noConversion"/>
  <pageMargins left="1.1599999999999999" right="0.3" top="1.5" bottom="0.3" header="0" footer="0"/>
  <pageSetup scale="89" orientation="portrait" r:id="rId1"/>
  <headerFooter>
    <oddHeader>&amp;L
STATE OF CALIFORNIA
California Environmental Protection Agency
AIR RESOURCES BOARD
ED/FOB/FES-018 (REV 09/15)</oddHeader>
    <oddFooter>&amp;R&amp;9Page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Phase 3 PM for PM Flat</vt:lpstr>
      <vt:lpstr>A</vt:lpstr>
      <vt:lpstr>B</vt:lpstr>
      <vt:lpstr>C</vt:lpstr>
      <vt:lpstr>Import Report</vt:lpstr>
      <vt:lpstr>PM Report-Single Certification</vt:lpstr>
      <vt:lpstr>A!Print_Area</vt:lpstr>
      <vt:lpstr>B!Print_Area</vt:lpstr>
      <vt:lpstr>'Import Report'!Print_Area</vt:lpstr>
      <vt:lpstr>'Phase 3 PM for PM Flat'!Print_Area</vt:lpstr>
      <vt:lpstr>'PM Report-Single Certification'!Print_Area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2006 Predictive Model _Beta Version</dc:title>
  <dc:subject>CaRFG Predictive Model Flat Limits for Producers</dc:subject>
  <dc:creator>Win Setiawan</dc:creator>
  <cp:keywords>CaRFG3, Flat Limits, Producers</cp:keywords>
  <cp:lastModifiedBy>Luz Amanda Ciccarelli</cp:lastModifiedBy>
  <cp:lastPrinted>2015-09-11T21:54:52Z</cp:lastPrinted>
  <dcterms:created xsi:type="dcterms:W3CDTF">1999-10-21T17:19:54Z</dcterms:created>
  <dcterms:modified xsi:type="dcterms:W3CDTF">2015-09-16T20:10:48Z</dcterms:modified>
</cp:coreProperties>
</file>